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10.xml.rels" ContentType="application/vnd.openxmlformats-package.relationships+xml"/>
  <Override PartName="/xl/worksheets/_rels/sheet9.xml.rels" ContentType="application/vnd.openxmlformats-package.relationships+xml"/>
  <Override PartName="/xl/worksheets/_rels/sheet8.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tables/table3.xml" ContentType="application/vnd.openxmlformats-officedocument.spreadsheetml.table+xml"/>
  <Override PartName="/xl/tables/table1.xml" ContentType="application/vnd.openxmlformats-officedocument.spreadsheetml.table+xml"/>
  <Override PartName="/xl/tables/table2.xml" ContentType="application/vnd.openxmlformats-officedocument.spreadsheetml.table+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mmary" sheetId="1" state="visible" r:id="rId3"/>
    <sheet name="Drivers" sheetId="2" state="visible" r:id="rId4"/>
    <sheet name="Culture" sheetId="3" state="visible" r:id="rId5"/>
    <sheet name="Ages" sheetId="4" state="visible" r:id="rId6"/>
    <sheet name="Locations" sheetId="5" state="visible" r:id="rId7"/>
    <sheet name="Race" sheetId="6" state="visible" r:id="rId8"/>
    <sheet name="Data Gaps" sheetId="7" state="visible" r:id="rId9"/>
    <sheet name="Victims" sheetId="8" state="visible" r:id="rId10"/>
    <sheet name="Perpetrators" sheetId="9" state="visible" r:id="rId11"/>
    <sheet name="Scene Violence" sheetId="10" state="visible" r:id="rId1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<sst xmlns="http://schemas.openxmlformats.org/spreadsheetml/2006/main" count="2243" uniqueCount="945">
  <si>
    <t xml:space="preserve">Rock vs. Hip-Hop Crime Census (U.S., all years)</t>
  </si>
  <si>
    <t xml:space="preserve">Built Oct 18, 2026. Counts update automatically as rows are added to the other tabs.</t>
  </si>
  <si>
    <t xml:space="preserve">Musicians killed</t>
  </si>
  <si>
    <t xml:space="preserve">Hip-hop/Rap</t>
  </si>
  <si>
    <t xml:space="preserve">Rock/Punk/Metal</t>
  </si>
  <si>
    <t xml:space="preserve">Total</t>
  </si>
  <si>
    <t xml:space="preserve">Convicted</t>
  </si>
  <si>
    <t xml:space="preserve">Pending</t>
  </si>
  <si>
    <t xml:space="preserve">Unsolved</t>
  </si>
  <si>
    <t xml:space="preserve">No charges (attacker died)</t>
  </si>
  <si>
    <t xml:space="preserve">Disputed</t>
  </si>
  <si>
    <t xml:space="preserve">Status not confirmed</t>
  </si>
  <si>
    <t xml:space="preserve">Musicians accused of violent crimes</t>
  </si>
  <si>
    <t xml:space="preserve">Total cases listed</t>
  </si>
  <si>
    <t xml:space="preserve">Convicted, someone died</t>
  </si>
  <si>
    <t xml:space="preserve">Convicted, non-fatal violence</t>
  </si>
  <si>
    <t xml:space="preserve">Charged, not convicted</t>
  </si>
  <si>
    <t xml:space="preserve">Scene and venue violence</t>
  </si>
  <si>
    <t xml:space="preserve">Incidents</t>
  </si>
  <si>
    <t xml:space="preserve">People killed</t>
  </si>
  <si>
    <t xml:space="preserve">Incidents with a conviction</t>
  </si>
  <si>
    <t xml:space="preserve">How to read this</t>
  </si>
  <si>
    <t xml:space="preserve">Scope: U.S. cases only (Puerto Rico included), all years. Notable cases drawn from published lists and news reports, not a complete record of every incident.</t>
  </si>
  <si>
    <t xml:space="preserve">Status 'Not confirmed' means the census sources did not state an outcome. Check those rows before publishing.</t>
  </si>
  <si>
    <t xml:space="preserve">Hip-hop victims come mostly from a dedicated list; rock victims are scattered across a general list, so rock may be undercounted.</t>
  </si>
  <si>
    <t xml:space="preserve">The Station fire deaths (100) dominate the rock 'people killed' figure. Compare incident counts, not just deaths.</t>
  </si>
  <si>
    <t xml:space="preserve">Perpetrator tab includes acquittals and dropped charges so the gap between accusation and conviction is visible.</t>
  </si>
  <si>
    <t xml:space="preserve">Every row links to its source. Add new rows inside each table and the totals above update.</t>
  </si>
  <si>
    <t xml:space="preserve">What Drove the Cases</t>
  </si>
  <si>
    <t xml:space="preserve">Motive tags are a reading of what each case's sources report, not official findings. Counts come from the Motive column on the Victims and Perpetrators tabs.</t>
  </si>
  <si>
    <t xml:space="preserve">Driver</t>
  </si>
  <si>
    <t xml:space="preserve">Hip-hop victims</t>
  </si>
  <si>
    <t xml:space="preserve">Hip-hop perpetrators</t>
  </si>
  <si>
    <t xml:space="preserve">Rock victims</t>
  </si>
  <si>
    <t xml:space="preserve">Rock perpetrators</t>
  </si>
  <si>
    <t xml:space="preserve">Hip-hop total</t>
  </si>
  <si>
    <t xml:space="preserve">Rock total</t>
  </si>
  <si>
    <t xml:space="preserve">Gang rivalry, street or club conflict, retaliation</t>
  </si>
  <si>
    <t xml:space="preserve">Robbery, money or random predatory crime</t>
  </si>
  <si>
    <t xml:space="preserve">Personal or business dispute</t>
  </si>
  <si>
    <t xml:space="preserve">Domestic, partner or family violence</t>
  </si>
  <si>
    <t xml:space="preserve">Obsessed fan</t>
  </si>
  <si>
    <t xml:space="preserve">Hate or subculture clash</t>
  </si>
  <si>
    <t xml:space="preserve">Cult or ideology</t>
  </si>
  <si>
    <t xml:space="preserve">Impaired driving or negligence</t>
  </si>
  <si>
    <t xml:space="preserve">Sexual assault</t>
  </si>
  <si>
    <t xml:space="preserve">Alleged feud, unproven</t>
  </si>
  <si>
    <t xml:space="preserve">Not reported</t>
  </si>
  <si>
    <t xml:space="preserve">Share with a known motive</t>
  </si>
  <si>
    <t xml:space="preserve">Key drivers explained</t>
  </si>
  <si>
    <t xml:space="preserve">Genre</t>
  </si>
  <si>
    <t xml:space="preserve">What it looks like</t>
  </si>
  <si>
    <t xml:space="preserve">Example cases</t>
  </si>
  <si>
    <t xml:space="preserve">Source</t>
  </si>
  <si>
    <t xml:space="preserve">Neighborhood rivalries follow the artist</t>
  </si>
  <si>
    <t xml:space="preserve">Largest category. Feuds between crews and gangs, often retaliation for an earlier killing.</t>
  </si>
  <si>
    <t xml:space="preserve">Lil JoJo, FBG Duck, King Von, Young Dolph, Notti Osama, Julio Foolio, Tupac</t>
  </si>
  <si>
    <t xml:space="preserve">https://en.wikipedia.org/wiki/Murder_of_Julio_Foolio</t>
  </si>
  <si>
    <t xml:space="preserve">Music and social media as provocation</t>
  </si>
  <si>
    <t xml:space="preserve">Diss videos and snippets aimed at rivals shortly before the artist is shot.</t>
  </si>
  <si>
    <t xml:space="preserve">Young Pappy (killed a week after mocking a rival gang), EST Lu Mike</t>
  </si>
  <si>
    <t xml:space="preserve">https://jamn957.iheart.com/content/2024-08-15-est-gees-artist-est-lu-mike-reportedly-shot-killed</t>
  </si>
  <si>
    <t xml:space="preserve">Visible wealth makes artists targets</t>
  </si>
  <si>
    <t xml:space="preserve">Robberies for jewelry or cash, home invasions.</t>
  </si>
  <si>
    <t xml:space="preserve">PnB Rock, XXXTentacion, Pop Smoke</t>
  </si>
  <si>
    <t xml:space="preserve">https://www.cbsnews.com/losangeles/news/pnb-rock-murder-killing-freddie-lee-trone-guilty-conviction-sentence</t>
  </si>
  <si>
    <t xml:space="preserve">Arguments escalate because guns are present</t>
  </si>
  <si>
    <t xml:space="preserve">Dice games, club disputes and personal grudges turn fatal.</t>
  </si>
  <si>
    <t xml:space="preserve">Takeoff, Nipsey Hussle, Vibes Lounge (Louisville)</t>
  </si>
  <si>
    <t xml:space="preserve">https://www.iheart.com/content/2026-02-12-takeoffs-murder-suspect-gets-trial-date/</t>
  </si>
  <si>
    <t xml:space="preserve">Unsolved killings feed retaliation</t>
  </si>
  <si>
    <t xml:space="preserve">U.S. murder clearance was 61.4% in 2024, yet XXL counts 60+ unsolved rapper killings.</t>
  </si>
  <si>
    <t xml:space="preserve">Biggie, Big L, Mac Dre, Scott La Rock</t>
  </si>
  <si>
    <t xml:space="preserve">https://www.xxlmag.com/current-status-murdered-rappers-cases/</t>
  </si>
  <si>
    <t xml:space="preserve">Underlying conditions</t>
  </si>
  <si>
    <t xml:space="preserve">Poverty in artists' backgrounds, gang activity, drug use, little support from labels.</t>
  </si>
  <si>
    <t xml:space="preserve">Researchers' summary</t>
  </si>
  <si>
    <t xml:space="preserve">https://en.wikipedia.org/wiki/List_of_murdered_hip-hop_musicians</t>
  </si>
  <si>
    <t xml:space="preserve">Intimate partner and family violence</t>
  </si>
  <si>
    <t xml:space="preserve">Dominant pattern. Victims are wives, girlfriends, mothers.</t>
  </si>
  <si>
    <t xml:space="preserve">Jim Gordon, Phil Spector, Theo Lengyel, Tim Lambesis, Tommy Lee, Felix Pappalardi</t>
  </si>
  <si>
    <t xml:space="preserve">https://thedarksideofhumanity.com/musicians-who-killed-true-crime/</t>
  </si>
  <si>
    <t xml:space="preserve">Mental illness and obsession</t>
  </si>
  <si>
    <t xml:space="preserve">Delusions or fixated strangers.</t>
  </si>
  <si>
    <t xml:space="preserve">Jim Gordon, John Lennon, Dimebag Darrell</t>
  </si>
  <si>
    <t xml:space="preserve">https://www.watchmojo.com/articles/10-musicians-who-turned-to-murder</t>
  </si>
  <si>
    <t xml:space="preserve">Random predatory crime</t>
  </si>
  <si>
    <t xml:space="preserve">Strangers attacking or robbing with no link to the music.</t>
  </si>
  <si>
    <t xml:space="preserve">Mia Zapata, Bryan Harvey and family</t>
  </si>
  <si>
    <t xml:space="preserve">https://en.wikipedia.org/wiki/2006_Richmond_spree_murders</t>
  </si>
  <si>
    <t xml:space="preserve">Hate and subculture conflict</t>
  </si>
  <si>
    <t xml:space="preserve">Neo-Nazi skinheads and jock-versus-punk feuds.</t>
  </si>
  <si>
    <t xml:space="preserve">Brian Deneke, Lin Newborn, Mulugeta Seraw</t>
  </si>
  <si>
    <t xml:space="preserve">https://www.splcenter.org/?p=41833</t>
  </si>
  <si>
    <t xml:space="preserve">Recklessness and negligence</t>
  </si>
  <si>
    <t xml:space="preserve">Drunk driving, illegal pyrotechnics.</t>
  </si>
  <si>
    <t xml:space="preserve">Vince Neil, The Station fire</t>
  </si>
  <si>
    <t xml:space="preserve">https://en.wikipedia.org/wiki/The_Station_nightclub_fire</t>
  </si>
  <si>
    <t xml:space="preserve">Takeaway</t>
  </si>
  <si>
    <t xml:space="preserve">Hip-hop violence mostly comes from outside the artist's home, from street rivalries, robberies and club disputes. Rock violence mostly comes from inside it, from partners, family, obsessed fans and the musicians' own minds.</t>
  </si>
  <si>
    <t xml:space="preserve">Cultural Drivers: Hip-Hop vs. Rock</t>
  </si>
  <si>
    <t xml:space="preserve">Interpretive analysis of patterns in the census cases. These are patterns in the cases, not traits of the people who make or love the music.</t>
  </si>
  <si>
    <t xml:space="preserve">Core idea: the biggest difference is where authenticity comes from.</t>
  </si>
  <si>
    <t xml:space="preserve">Theme</t>
  </si>
  <si>
    <t xml:space="preserve">Where authenticity comes from</t>
  </si>
  <si>
    <t xml:space="preserve">Credibility is tied to where you came from. "Keeping it real" means not abandoning the people, the block or the crew that made you.</t>
  </si>
  <si>
    <t xml:space="preserve">Rebellion is aimed inward or at society in general. The myth is escape: leave the small town, get the mansion, live to excess.</t>
  </si>
  <si>
    <t xml:space="preserve">Relationship to origins after success</t>
  </si>
  <si>
    <t xml:space="preserve">Artists often stay close to the environments where rivalries already exist. A neighborhood feud doesn't stop with a record deal; it gets an audience.</t>
  </si>
  <si>
    <t xml:space="preserve">Success is supposed to take you away from where you started, into an isolated world fame builds.</t>
  </si>
  <si>
    <t xml:space="preserve">Hip-hop: EST Gee's manager killed after his Louisville homecoming show</t>
  </si>
  <si>
    <t xml:space="preserve">https://www.complex.com/music/a/markelibert/est-gees-manager-shot-and-killed</t>
  </si>
  <si>
    <t xml:space="preserve">Conflict as part of the art</t>
  </si>
  <si>
    <t xml:space="preserve">Drill and diss records make the rivalry itself the content, naming rivals and mocking the dead. Social media makes it live and traceable.</t>
  </si>
  <si>
    <t xml:space="preserve">Not a core feature of the genre's music.</t>
  </si>
  <si>
    <t xml:space="preserve">Young Pappy (shot a week after mocking a rival gang), EST Lu Mike</t>
  </si>
  <si>
    <t xml:space="preserve">Wealth and visibility</t>
  </si>
  <si>
    <t xml:space="preserve">Success brings visible wealth back into the same streets, which explains the robbery cases.</t>
  </si>
  <si>
    <t xml:space="preserve">Wealth creates distance from fans; when that distance breaks, it is often an obsessed stranger.</t>
  </si>
  <si>
    <t xml:space="preserve">Hip-hop: PnB Rock, XXXTentacion, Pop Smoke. Rock: John Lennon, Dimebag Darrell</t>
  </si>
  <si>
    <t xml:space="preserve">Where the danger lands</t>
  </si>
  <si>
    <t xml:space="preserve">Violence comes at the artist from outside: rivals, robbers, street disputes.</t>
  </si>
  <si>
    <t xml:space="preserve">Danger has historically been self-destruction (drugs, drinking, reckless driving). When violence happens, it tends to be private: partners, family, the home.</t>
  </si>
  <si>
    <t xml:space="preserve">Rock: Phil Spector, Jim Gordon, Theo Lengyel, Tim Lambesis</t>
  </si>
  <si>
    <t xml:space="preserve">The exception that proves the rule</t>
  </si>
  <si>
    <t xml:space="preserve">Punk, black metal and skinhead scenes tie identity to a group, a look and a turf. That is where rock's group violence shows up.</t>
  </si>
  <si>
    <t xml:space="preserve">Brian Deneke, Las Vegas and Portland neo-Nazi murders, Norwegian church burnings</t>
  </si>
  <si>
    <t xml:space="preserve">https://en.wikipedia.org/wiki/Killing_of_Brian_Deneke</t>
  </si>
  <si>
    <t xml:space="preserve">How society reads it</t>
  </si>
  <si>
    <t xml:space="preserve">Violence is treated as evidence the genre is dangerous: rap shows banned after the 1988 Nassau Coliseum stabbing, lyrics used in court 800+ times, police warnings before EST Gee's homecoming show.</t>
  </si>
  <si>
    <t xml:space="preserve">Violence is treated as individual tragedy: one troubled man, not a genre problem.</t>
  </si>
  <si>
    <t xml:space="preserve">Nassau Coliseum rap ban; lyrics-as-evidence cases</t>
  </si>
  <si>
    <t xml:space="preserve">https://en.wikipedia.org/wiki/Use_of_lyrics_as_evidence</t>
  </si>
  <si>
    <t xml:space="preserve">Effect on justice</t>
  </si>
  <si>
    <t xml:space="preserve">Many killings stay unsolved, which keeps the cycle of retaliation going.</t>
  </si>
  <si>
    <t xml:space="preserve">A higher share of cases reach a resolution in this census.</t>
  </si>
  <si>
    <t xml:space="preserve">XXL counts 60+ unsolved rapper killings</t>
  </si>
  <si>
    <t xml:space="preserve">Short version</t>
  </si>
  <si>
    <t xml:space="preserve">Hip-hop's culture binds artists to dangerous environments and makes conflict part of the art, so violence comes at them from outside.</t>
  </si>
  <si>
    <t xml:space="preserve">Rock's culture pulls artists away into isolation and excess, so its violence tends to come from inside: the home, the mind, or a fan who can't let go.</t>
  </si>
  <si>
    <t xml:space="preserve">The public then treats the first as a cultural problem and the second as a personal one. Race and class are the obvious undercurrent.</t>
  </si>
  <si>
    <t xml:space="preserve">In 1987, Scott La Rock's manager said the violence came from the environment, not the music. The culture just doesn't let the artist leave that environment without losing credibility.</t>
  </si>
  <si>
    <t xml:space="preserve">Caution: most artists in both genres never come near any of this.</t>
  </si>
  <si>
    <t xml:space="preserve">Ages of Victims and Perpetrators</t>
  </si>
  <si>
    <t xml:space="preserve">Victim age = age at death. Perpetrator age = musician's age at the time of the crime. Counts update from the Victims and Perpetrators tabs.</t>
  </si>
  <si>
    <t xml:space="preserve">Victims: age at death</t>
  </si>
  <si>
    <t xml:space="preserve">Age group</t>
  </si>
  <si>
    <t xml:space="preserve">% of hip-hop</t>
  </si>
  <si>
    <t xml:space="preserve">% of rock</t>
  </si>
  <si>
    <t xml:space="preserve">Under 18</t>
  </si>
  <si>
    <t xml:space="preserve">18-24</t>
  </si>
  <si>
    <t xml:space="preserve">25-34</t>
  </si>
  <si>
    <t xml:space="preserve">35-44</t>
  </si>
  <si>
    <t xml:space="preserve">45-54</t>
  </si>
  <si>
    <t xml:space="preserve">55+</t>
  </si>
  <si>
    <t xml:space="preserve">Unknown</t>
  </si>
  <si>
    <t xml:space="preserve">Average age (known)</t>
  </si>
  <si>
    <t xml:space="preserve">Youngest</t>
  </si>
  <si>
    <t xml:space="preserve">Oldest</t>
  </si>
  <si>
    <t xml:space="preserve">Perpetrators: musician's age at time of crime</t>
  </si>
  <si>
    <t xml:space="preserve">Offenders who killed musicians (where age reported)</t>
  </si>
  <si>
    <t xml:space="preserve">Offenders with known age</t>
  </si>
  <si>
    <t xml:space="preserve">Average age</t>
  </si>
  <si>
    <t xml:space="preserve">What the ages show (as of Oct 18, 2026)</t>
  </si>
  <si>
    <t xml:space="preserve">Hip-hop victims die young: 82% were under 35, average age 27. The youngest was 14 (Notti Osama) and none were older than 44.</t>
  </si>
  <si>
    <t xml:space="preserve">Rock victims were older: two-thirds were 35 or older, average age 36.</t>
  </si>
  <si>
    <t xml:space="preserve">Hip-hop musicians who committed crimes averaged about 26; three were minors (Tay-K at 16, NBA YoungBoy at 17, X-Raided at about 17).</t>
  </si>
  <si>
    <t xml:space="preserve">Rock musicians who committed crimes averaged about 35 and were spread across ages, up to Phil Spector at 63.</t>
  </si>
  <si>
    <t xml:space="preserve">People who killed musicians averaged their mid-20s in both genres, though few offender ages are reported (5 hip-hop, 7 rock).</t>
  </si>
  <si>
    <t xml:space="preserve">Takeaway: hip-hop cases cluster in the late teens to early 30s, the peak years for both committing and suffering homicide in general. Rock cases happen later in life, which fits the domestic pattern on the Drivers tab.</t>
  </si>
  <si>
    <t xml:space="preserve">Caution: these are small samples. Ages explain part of the gap between genres, which is why age needs to be controlled for before drawing conclusions about culture.</t>
  </si>
  <si>
    <t xml:space="preserve">Where the Crimes Happened</t>
  </si>
  <si>
    <t xml:space="preserve">Location type is recorded only where sources describe the scene. Region uses U.S. Census regions, looked up from each case's state (table in columns I:J). Counts update from the case tabs.</t>
  </si>
  <si>
    <t xml:space="preserve">By location type</t>
  </si>
  <si>
    <t xml:space="preserve">State</t>
  </si>
  <si>
    <t xml:space="preserve">Region</t>
  </si>
  <si>
    <t xml:space="preserve">Location type</t>
  </si>
  <si>
    <t xml:space="preserve">Hip-hop scene</t>
  </si>
  <si>
    <t xml:space="preserve">Rock scene</t>
  </si>
  <si>
    <t xml:space="preserve">NY</t>
  </si>
  <si>
    <t xml:space="preserve">Northeast</t>
  </si>
  <si>
    <t xml:space="preserve">Home/residence</t>
  </si>
  <si>
    <t xml:space="preserve">PA</t>
  </si>
  <si>
    <t xml:space="preserve">Nightclub/bar</t>
  </si>
  <si>
    <t xml:space="preserve">NJ</t>
  </si>
  <si>
    <t xml:space="preserve">Concert/festival venue</t>
  </si>
  <si>
    <t xml:space="preserve">RI</t>
  </si>
  <si>
    <t xml:space="preserve">Street/sidewalk</t>
  </si>
  <si>
    <t xml:space="preserve">MA</t>
  </si>
  <si>
    <t xml:space="preserve">Vehicle/roadway</t>
  </si>
  <si>
    <t xml:space="preserve">CT</t>
  </si>
  <si>
    <t xml:space="preserve">Parking lot</t>
  </si>
  <si>
    <t xml:space="preserve">NH</t>
  </si>
  <si>
    <t xml:space="preserve">Restaurant/store/business</t>
  </si>
  <si>
    <t xml:space="preserve">VT</t>
  </si>
  <si>
    <t xml:space="preserve">Hotel/motel</t>
  </si>
  <si>
    <t xml:space="preserve">ME</t>
  </si>
  <si>
    <t xml:space="preserve">Recording studio</t>
  </si>
  <si>
    <t xml:space="preserve">IL</t>
  </si>
  <si>
    <t xml:space="preserve">Midwest</t>
  </si>
  <si>
    <t xml:space="preserve">Other/remote</t>
  </si>
  <si>
    <t xml:space="preserve">MO</t>
  </si>
  <si>
    <t xml:space="preserve">MI</t>
  </si>
  <si>
    <t xml:space="preserve">OH</t>
  </si>
  <si>
    <t xml:space="preserve">IA</t>
  </si>
  <si>
    <t xml:space="preserve">By region</t>
  </si>
  <si>
    <t xml:space="preserve">IN</t>
  </si>
  <si>
    <t xml:space="preserve">WI</t>
  </si>
  <si>
    <t xml:space="preserve">MN</t>
  </si>
  <si>
    <t xml:space="preserve">KS</t>
  </si>
  <si>
    <t xml:space="preserve">South</t>
  </si>
  <si>
    <t xml:space="preserve">NE</t>
  </si>
  <si>
    <t xml:space="preserve">West</t>
  </si>
  <si>
    <t xml:space="preserve">SD</t>
  </si>
  <si>
    <t xml:space="preserve">U.S. territory</t>
  </si>
  <si>
    <t xml:space="preserve">ND</t>
  </si>
  <si>
    <t xml:space="preserve">Not mapped</t>
  </si>
  <si>
    <t xml:space="preserve">TX</t>
  </si>
  <si>
    <t xml:space="preserve">FL</t>
  </si>
  <si>
    <t xml:space="preserve">GA</t>
  </si>
  <si>
    <t xml:space="preserve">What the locations show (as of Oct 18, 2026)</t>
  </si>
  <si>
    <t xml:space="preserve">LA</t>
  </si>
  <si>
    <t xml:space="preserve">Hip-hop victims die in public: of the 32 killings with a known location, 30 happened on streets, in cars, parking lots, businesses, clubs or studios. Only 2 were at a home.</t>
  </si>
  <si>
    <t xml:space="preserve">TN</t>
  </si>
  <si>
    <t xml:space="preserve">Rock victims are more often killed at home: 5 of the 11 with a known location.</t>
  </si>
  <si>
    <t xml:space="preserve">MD</t>
  </si>
  <si>
    <t xml:space="preserve">Rock perpetrators committed 6 of 9 crimes at a home, matching the domestic pattern on the Drivers tab. Hip-hop perpetrators' crimes were mostly in clubs, on streets and in cars.</t>
  </si>
  <si>
    <t xml:space="preserve">KY</t>
  </si>
  <si>
    <t xml:space="preserve">Half of hip-hop victims (28 of 56) were killed in the South. Seven of nine rock perpetrators were in the West, mostly California, where the music industry is concentrated.</t>
  </si>
  <si>
    <t xml:space="preserve">DC</t>
  </si>
  <si>
    <t xml:space="preserve">Hip-hop scene violence clusters at concerts and festivals; rock scene violence at nightclubs.</t>
  </si>
  <si>
    <t xml:space="preserve">VA</t>
  </si>
  <si>
    <t xml:space="preserve">Caution: 24 hip-hop killings and 10 hip-hop perpetrator cases have no reported location, so these splits could shift as those are filled in. Locations are recorded only where sources describe the scene.</t>
  </si>
  <si>
    <t xml:space="preserve">AL</t>
  </si>
  <si>
    <t xml:space="preserve">SC</t>
  </si>
  <si>
    <t xml:space="preserve">NC</t>
  </si>
  <si>
    <t xml:space="preserve">MS</t>
  </si>
  <si>
    <t xml:space="preserve">AR</t>
  </si>
  <si>
    <t xml:space="preserve">OK</t>
  </si>
  <si>
    <t xml:space="preserve">WV</t>
  </si>
  <si>
    <t xml:space="preserve">DE</t>
  </si>
  <si>
    <t xml:space="preserve">CA</t>
  </si>
  <si>
    <t xml:space="preserve">NV</t>
  </si>
  <si>
    <t xml:space="preserve">UT</t>
  </si>
  <si>
    <t xml:space="preserve">OR</t>
  </si>
  <si>
    <t xml:space="preserve">WA</t>
  </si>
  <si>
    <t xml:space="preserve">AZ</t>
  </si>
  <si>
    <t xml:space="preserve">CO</t>
  </si>
  <si>
    <t xml:space="preserve">NM</t>
  </si>
  <si>
    <t xml:space="preserve">ID</t>
  </si>
  <si>
    <t xml:space="preserve">MT</t>
  </si>
  <si>
    <t xml:space="preserve">WY</t>
  </si>
  <si>
    <t xml:space="preserve">HI</t>
  </si>
  <si>
    <t xml:space="preserve">AK</t>
  </si>
  <si>
    <t xml:space="preserve">PR</t>
  </si>
  <si>
    <t xml:space="preserve">Race of Victims and Perpetrators</t>
  </si>
  <si>
    <t xml:space="preserve">Race is recorded only where it is widely published or self-identified, never inferred from names or photos. Everything else is 'Not confirmed'. Verify before publishing. Counts update from the Victims and Perpetrators tabs.</t>
  </si>
  <si>
    <t xml:space="preserve">Victims</t>
  </si>
  <si>
    <t xml:space="preserve">Race</t>
  </si>
  <si>
    <t xml:space="preserve">Black</t>
  </si>
  <si>
    <t xml:space="preserve">White</t>
  </si>
  <si>
    <t xml:space="preserve">Latino</t>
  </si>
  <si>
    <t xml:space="preserve">Asian</t>
  </si>
  <si>
    <t xml:space="preserve">Pacific Islander</t>
  </si>
  <si>
    <t xml:space="preserve">Multiracial</t>
  </si>
  <si>
    <t xml:space="preserve">Not confirmed</t>
  </si>
  <si>
    <t xml:space="preserve">Share with race confirmed</t>
  </si>
  <si>
    <t xml:space="preserve">Perpetrators (musicians who committed crimes)</t>
  </si>
  <si>
    <t xml:space="preserve">Offenders who killed musicians (where race reported)</t>
  </si>
  <si>
    <t xml:space="preserve">Case</t>
  </si>
  <si>
    <t xml:space="preserve">Victim race</t>
  </si>
  <si>
    <t xml:space="preserve">Offender race</t>
  </si>
  <si>
    <t xml:space="preserve">Tupac Shakur</t>
  </si>
  <si>
    <t xml:space="preserve">Nipsey Hussle</t>
  </si>
  <si>
    <t xml:space="preserve">John Lennon</t>
  </si>
  <si>
    <t xml:space="preserve">Mia Zapata</t>
  </si>
  <si>
    <t xml:space="preserve">Latino (Cuban-born)</t>
  </si>
  <si>
    <t xml:space="preserve">Brian Deneke</t>
  </si>
  <si>
    <t xml:space="preserve">Lin "Spit" Newborn</t>
  </si>
  <si>
    <t xml:space="preserve">White (neo-Nazi; hate crime)</t>
  </si>
  <si>
    <t xml:space="preserve">Dimebag Darrell</t>
  </si>
  <si>
    <t xml:space="preserve">Bryan Harvey</t>
  </si>
  <si>
    <t xml:space="preserve">Only 8 offender races are reported in the census sources; most cases are blank.</t>
  </si>
  <si>
    <t xml:space="preserve">What the race data shows (as of Oct 18, 2026)</t>
  </si>
  <si>
    <t xml:space="preserve">In this census, genre and race almost completely overlap: confirmed hip-hop victims and perpetrators are nearly all Black, and confirmed rock victims and perpetrators are nearly all White.</t>
  </si>
  <si>
    <t xml:space="preserve">That means the census cannot separate the effect of the music culture from the effect of race-linked conditions: segregation, poverty, unequal policing and the much higher U.S. homicide rate for young Black men.</t>
  </si>
  <si>
    <t xml:space="preserve">Killings across racial lines are rare and stand out: Lin Newborn, a Black punk, murdered by a White neo-Nazi in a hate crime, and the Harvey family, killed by Black robbers who picked their house at random. The only confirmed victim who is neither Black nor White is Kevin Fret, a Latino artist.</t>
  </si>
  <si>
    <t xml:space="preserve">Where both races are reported, 5 of 7 killings were within the same racial group, matching general U.S. homicide patterns. The sample is very small.</t>
  </si>
  <si>
    <t xml:space="preserve">Race describes who was involved; it does not cause violence. Any published finding should frame race with the structural factors above and cite baseline homicide rates.</t>
  </si>
  <si>
    <t xml:space="preserve">What the Census Is Missing</t>
  </si>
  <si>
    <t xml:space="preserve">The census counts cases but can't yet measure risk. Gaps are ordered by how much they limit what the study can claim. Update the Status column as work is done.</t>
  </si>
  <si>
    <t xml:space="preserve">Priority</t>
  </si>
  <si>
    <t xml:space="preserve">Gap</t>
  </si>
  <si>
    <t xml:space="preserve">Why it matters</t>
  </si>
  <si>
    <t xml:space="preserve">What to collect</t>
  </si>
  <si>
    <t xml:space="preserve">Effort</t>
  </si>
  <si>
    <t xml:space="preserve">Status</t>
  </si>
  <si>
    <t xml:space="preserve">Denominators and baselines</t>
  </si>
  <si>
    <t xml:space="preserve">Without knowing how many working musicians are in each genre and their ages, 56 vs. 15 doesn't show which is more dangerous. Young Black men face far higher U.S. homicide risk regardless of music; without a baseline, the effect of the culture can't be separated from national homicide patterns. Critics of the cultural argument will raise this first.</t>
  </si>
  <si>
    <t xml:space="preserve">Active-artist counts per genre or Kenny study rates (hip-hop homicide 5 to 32 times higher); victim sex; homicide rates for each case's city. Ages added Oct 18, 2026 (Ages tab) and race added (Race tab); some ages and races still not confirmed, and offender race is mostly unreported.</t>
  </si>
  <si>
    <t xml:space="preserve">High</t>
  </si>
  <si>
    <t xml:space="preserve">In progress</t>
  </si>
  <si>
    <t xml:space="preserve">Unconfirmed outcomes and motives</t>
  </si>
  <si>
    <t xml:space="preserve">37 hip-hop killings lack a confirmed outcome and 71% lack a reported motive, so the solved-vs-unsolved comparison is incomplete.</t>
  </si>
  <si>
    <t xml:space="preserve">Case-by-case lookup of arrests, charges, verdicts and reported motive for every 'Not confirmed' row.</t>
  </si>
  <si>
    <t xml:space="preserve">Medium</t>
  </si>
  <si>
    <t xml:space="preserve">Open</t>
  </si>
  <si>
    <t xml:space="preserve">Lyrics and music-as-evidence tab</t>
  </si>
  <si>
    <t xml:space="preserve">The double-standard argument depends on it. Including metal counterexamples makes the argument stronger and harder to dismiss.</t>
  </si>
  <si>
    <t xml:space="preserve">Rap lyric cases (826+ documented); metal counterexamples: West Memphis Three prosecution, Judas Priest and Ozzy Osbourne suicide lawsuits.</t>
  </si>
  <si>
    <t xml:space="preserve">Rock undercount</t>
  </si>
  <si>
    <t xml:space="preserve">Hip-hop victims come from a dedicated tracking list; rock cases came from scattered sources, so local rock, punk and metal killings are likely missing.</t>
  </si>
  <si>
    <t xml:space="preserve">Regional news archives, including WHAS 11 and other local station archives.</t>
  </si>
  <si>
    <t xml:space="preserve">Non-fatal and non-violent crime</t>
  </si>
  <si>
    <t xml:space="preserve">The census is built around killings. Assault and domestic violence (likely underrepresented for rock), sexual offenses (almost absent for both) and drug and gun charges are thin.</t>
  </si>
  <si>
    <t xml:space="preserve">Convictions for assault, domestic violence, sexual offenses, drug and weapons charges by genre.</t>
  </si>
  <si>
    <t xml:space="preserve">Industry crime</t>
  </si>
  <si>
    <t xml:space="preserve">Label violence, racketeering, fraud and payola aren't tracked, so the business side of each genre is invisible.</t>
  </si>
  <si>
    <t xml:space="preserve">Death Row, Sean Combs case, YSL RICO, rock management theft and payola cases.</t>
  </si>
  <si>
    <t xml:space="preserve">Consistent fields for analysis</t>
  </si>
  <si>
    <t xml:space="preserve">Key details sit in free-text notes and can't be sorted or counted. Sentence length would test whether sentencing differs by genre.</t>
  </si>
  <si>
    <t xml:space="preserve">New columns: victim-offender relationship, weapon, sentence in years, time from crime to arrest, decade. Location type and region added Oct 18, 2026 (Locations tab).</t>
  </si>
  <si>
    <t xml:space="preserve">Low</t>
  </si>
  <si>
    <t xml:space="preserve">Regional focus (Kentuckiana)</t>
  </si>
  <si>
    <t xml:space="preserve">Only a handful of Louisville cases and none from Indiana; a local section gives the study a local angle.</t>
  </si>
  <si>
    <t xml:space="preserve">Louisville, Southern Indiana and wider Kentucky cases in both genres.</t>
  </si>
  <si>
    <t xml:space="preserve">Verification tracking</t>
  </si>
  <si>
    <t xml:space="preserve">Several cases are still moving through the courts (Takeoff, Yella Beezy, Jam Master Jay appeal, Lil Durk RICO).</t>
  </si>
  <si>
    <t xml:space="preserve">Second-source column and 'date checked' column on every case tab.</t>
  </si>
  <si>
    <t xml:space="preserve">Primary sources</t>
  </si>
  <si>
    <t xml:space="preserve">Several cases rest on Ranker, TheTopTens, Grokipedia and other listicles, and Wikipedia carries much of the victim list. One wrong row can undermine the whole study.</t>
  </si>
  <si>
    <t xml:space="preserve">Court records, police statements or the original local news report for every case.</t>
  </si>
  <si>
    <t xml:space="preserve">Sex of everyone involved</t>
  </si>
  <si>
    <t xml:space="preserve">Nearly every musician in the census is male, but victims of musician perpetrators are often women (Lana Clarkson, Alice Hermann, Tynisha Ysais, Kasmira Nash, Meggan Lambesis, Pamela Anderson). Much of the violence is men against women.</t>
  </si>
  <si>
    <t xml:space="preserve">Sex column for victims, perpetrators and offenders.</t>
  </si>
  <si>
    <t xml:space="preserve">Who the perpetrators' victims were</t>
  </si>
  <si>
    <t xml:space="preserve">The Perpetrators tab records the musician but not the person harmed, so half of each crime is missing.</t>
  </si>
  <si>
    <t xml:space="preserve">Victim name (where public), age, race, sex and relationship to the musician.</t>
  </si>
  <si>
    <t xml:space="preserve">Bystanders and total people harmed</t>
  </si>
  <si>
    <t xml:space="preserve">Takeoff was a bystander; Quando Rondo's cousin, the NBA YoungBoy hotel bystander and many concertgoers were also harmed. The famous name hides the true toll.</t>
  </si>
  <si>
    <t xml:space="preserve">Count of everyone killed or injured in each case.</t>
  </si>
  <si>
    <t xml:space="preserve">Control group of other genres</t>
  </si>
  <si>
    <t xml:space="preserve">Shows whether patterns come from genre culture or from age, race and place. Country is the natural comparison for rock; Latin music for hip-hop (many narcocorrido singers have been killed, e.g., Chalino Sanchez).</t>
  </si>
  <si>
    <t xml:space="preserve">Same fields for country, R&amp;B, pop and Latin music cases.</t>
  </si>
  <si>
    <t xml:space="preserve">Support for the self-destruction claim</t>
  </si>
  <si>
    <t xml:space="preserve">The Culture tab says rock's danger has historically been self-destruction, but the census has no overdose, suicide or accident data to back it.</t>
  </si>
  <si>
    <t xml:space="preserve">Cause-of-death data by genre from the Kenny studies, or soften that line on the Culture tab.</t>
  </si>
  <si>
    <t xml:space="preserve">Career stage and fame</t>
  </si>
  <si>
    <t xml:space="preserve">Many hip-hop victims were rising artists. This would test whether danger peaks just as an artist breaks out.</t>
  </si>
  <si>
    <t xml:space="preserve">Emerging or established, independent or major label, charted or not, at the time of the crime.</t>
  </si>
  <si>
    <t xml:space="preserve">Media coverage level</t>
  </si>
  <si>
    <t xml:space="preserve">The study set out to find cases beyond national headlines. Shows which killings got attention and whether that lines up with genre or race.</t>
  </si>
  <si>
    <t xml:space="preserve">Coverage column: national, regional or local only.</t>
  </si>
  <si>
    <t xml:space="preserve">Time patterns</t>
  </si>
  <si>
    <t xml:space="preserve">Several killings came right after shows (EST Big Beach, Donnie McFly, Sai Foisia). A decade field would show whether drill and social media changed the pattern after 2010.</t>
  </si>
  <si>
    <t xml:space="preserve">Decade column and an 'after a show or event' flag.</t>
  </si>
  <si>
    <t xml:space="preserve">Sentences compared with typical sentences</t>
  </si>
  <si>
    <t xml:space="preserve">Sentences swing widely (probation for Brian Deneke's killer, time served for Jack Harlow's DJ, about 15 days for Vince Neil, a death sentence for Cool C). Comparing each with the typical sentence for the same charge in that state would test whether fame, genre or race affected punishment.</t>
  </si>
  <si>
    <t xml:space="preserve">Sentence in years for every conviction, plus state sentencing data for the same charge.</t>
  </si>
  <si>
    <t xml:space="preserve">Context columns are mostly blank</t>
  </si>
  <si>
    <t xml:space="preserve">Context columns (prior warning signs, online provocation, gang/RICO charges, post-conviction changes, civil suits, aftermath, family left behind, consequences for the genre) were added Oct 18, 2026 and filled only where the census sources already reported them. Blank means not yet researched, not 'none'.</t>
  </si>
  <si>
    <t xml:space="preserve">Case-by-case research for each context column, especially online provocation, which the article's drill argument rests on.</t>
  </si>
  <si>
    <t xml:space="preserve">Recommended order</t>
  </si>
  <si>
    <t xml:space="preserve">Start with item 7: it only reorganizes data already in the census.</t>
  </si>
  <si>
    <t xml:space="preserve">Items 1 and 2 add the most credibility to the study's conclusions.</t>
  </si>
  <si>
    <t xml:space="preserve">Item 10 (primary sources) must be done before anything is published.</t>
  </si>
  <si>
    <t xml:space="preserve">Open gaps</t>
  </si>
  <si>
    <t xml:space="preserve">Name</t>
  </si>
  <si>
    <t xml:space="preserve">Subgenre / band</t>
  </si>
  <si>
    <t xml:space="preserve">Year</t>
  </si>
  <si>
    <t xml:space="preserve">City</t>
  </si>
  <si>
    <t xml:space="preserve">How killed</t>
  </si>
  <si>
    <t xml:space="preserve">Case status</t>
  </si>
  <si>
    <t xml:space="preserve">Outcome / notes</t>
  </si>
  <si>
    <t xml:space="preserve">Motive</t>
  </si>
  <si>
    <t xml:space="preserve">Victim age</t>
  </si>
  <si>
    <t xml:space="preserve">Victim age group</t>
  </si>
  <si>
    <t xml:space="preserve">Offender age (if reported)</t>
  </si>
  <si>
    <t xml:space="preserve">Age notes</t>
  </si>
  <si>
    <t xml:space="preserve">Offender race (if reported)</t>
  </si>
  <si>
    <t xml:space="preserve">Specific place</t>
  </si>
  <si>
    <t xml:space="preserve">Prior warning signs</t>
  </si>
  <si>
    <t xml:space="preserve">Online provocation before crime</t>
  </si>
  <si>
    <t xml:space="preserve">Gang/RICO charges in court</t>
  </si>
  <si>
    <t xml:space="preserve">Post-conviction changes</t>
  </si>
  <si>
    <t xml:space="preserve">Civil suits</t>
  </si>
  <si>
    <t xml:space="preserve">Aftermath and legacy</t>
  </si>
  <si>
    <t xml:space="preserve">Family left behind</t>
  </si>
  <si>
    <t xml:space="preserve">Scott La Rock</t>
  </si>
  <si>
    <t xml:space="preserve">Rap (BDP)</t>
  </si>
  <si>
    <t xml:space="preserve">New York</t>
  </si>
  <si>
    <t xml:space="preserve">Shooting</t>
  </si>
  <si>
    <t xml:space="preserve">XXL lists as first unsolved hip-hop slaying</t>
  </si>
  <si>
    <t xml:space="preserve">Paul C</t>
  </si>
  <si>
    <t xml:space="preserve">Producer</t>
  </si>
  <si>
    <t xml:space="preserve">Danny "D-Boy" Rodriguez</t>
  </si>
  <si>
    <t xml:space="preserve">Christian rap</t>
  </si>
  <si>
    <t xml:space="preserve">Dallas</t>
  </si>
  <si>
    <t xml:space="preserve">Charizma</t>
  </si>
  <si>
    <t xml:space="preserve">Rap</t>
  </si>
  <si>
    <t xml:space="preserve">East Palo Alto</t>
  </si>
  <si>
    <t xml:space="preserve">Stretch</t>
  </si>
  <si>
    <t xml:space="preserve">Rap/producer</t>
  </si>
  <si>
    <t xml:space="preserve">Seagram</t>
  </si>
  <si>
    <t xml:space="preserve">Oakland</t>
  </si>
  <si>
    <t xml:space="preserve">Las Vegas</t>
  </si>
  <si>
    <t xml:space="preserve">Drive-by shooting</t>
  </si>
  <si>
    <t xml:space="preserve">Duane "Keffe D" Davis convicted Aug 2026, 40 years to life (Oct 2026)</t>
  </si>
  <si>
    <t xml:space="preserve">Car at a Las Vegas intersection (drive-by)</t>
  </si>
  <si>
    <t xml:space="preserve">Convicted of murder to promote a criminal gang</t>
  </si>
  <si>
    <t xml:space="preserve">https://www.aljazeera.com/news/2026/10/13/ex-gang-leader-gets-40-years-to-life-for-rapper-tupac-shakurs-1996-murder</t>
  </si>
  <si>
    <t xml:space="preserve">The Notorious B.I.G.</t>
  </si>
  <si>
    <t xml:space="preserve">Los Angeles</t>
  </si>
  <si>
    <t xml:space="preserve">Car leaving a party, Los Angeles</t>
  </si>
  <si>
    <t xml:space="preserve">Fat Pat</t>
  </si>
  <si>
    <t xml:space="preserve">Houston</t>
  </si>
  <si>
    <t xml:space="preserve">Big L</t>
  </si>
  <si>
    <t xml:space="preserve">Harlem street near his home</t>
  </si>
  <si>
    <t xml:space="preserve">Sai Foisia (Brownzville)</t>
  </si>
  <si>
    <t xml:space="preserve">Salt Lake City</t>
  </si>
  <si>
    <t xml:space="preserve">Shooting after concert</t>
  </si>
  <si>
    <t xml:space="preserve">Initial suspect, no arrests</t>
  </si>
  <si>
    <t xml:space="preserve">Days Inn motel parking lot</t>
  </si>
  <si>
    <t xml:space="preserve">https://www.yahoo.com/news/articles/exclusive-musician-murder-still-unsolved-180114128.html</t>
  </si>
  <si>
    <t xml:space="preserve">DJ Uncle Al</t>
  </si>
  <si>
    <t xml:space="preserve">DJ</t>
  </si>
  <si>
    <t xml:space="preserve">Miami</t>
  </si>
  <si>
    <t xml:space="preserve">Jam Master Jay</t>
  </si>
  <si>
    <t xml:space="preserve">DJ (Run-DMC)</t>
  </si>
  <si>
    <t xml:space="preserve">Ronald Washington convicted 2024; Karl Jordan Jr. acquitted by judge Dec 2025 (under appeal); Jay Bryant tried separately</t>
  </si>
  <si>
    <t xml:space="preserve">His recording studio, Queens</t>
  </si>
  <si>
    <t xml:space="preserve">Judge acquitted Karl Jordan Jr. Dec 2025; prosecutors appealing</t>
  </si>
  <si>
    <t xml:space="preserve">https://www.aljazeera.com/news/2025/12/20/conviction-overturned-in-murder-of-rap-star-jam-master-jay-run-dmc-member</t>
  </si>
  <si>
    <t xml:space="preserve">Camoflauge</t>
  </si>
  <si>
    <t xml:space="preserve">Savannah</t>
  </si>
  <si>
    <t xml:space="preserve">Outside a Savannah recording studio</t>
  </si>
  <si>
    <t xml:space="preserve">Soulja Slim</t>
  </si>
  <si>
    <t xml:space="preserve">New Orleans</t>
  </si>
  <si>
    <t xml:space="preserve">Mac Dre</t>
  </si>
  <si>
    <t xml:space="preserve">Kansas City</t>
  </si>
  <si>
    <t xml:space="preserve">Van on a Kansas City highway</t>
  </si>
  <si>
    <t xml:space="preserve">Proof</t>
  </si>
  <si>
    <t xml:space="preserve">Rap (D12)</t>
  </si>
  <si>
    <t xml:space="preserve">Detroit</t>
  </si>
  <si>
    <t xml:space="preserve">Detroit nightclub on 8 Mile</t>
  </si>
  <si>
    <t xml:space="preserve">Big Hawk</t>
  </si>
  <si>
    <t xml:space="preserve">Dolla</t>
  </si>
  <si>
    <t xml:space="preserve">Beverly Center shopping mall</t>
  </si>
  <si>
    <t xml:space="preserve">Messy Mya</t>
  </si>
  <si>
    <t xml:space="preserve">Bounce</t>
  </si>
  <si>
    <t xml:space="preserve">New Orleans 7th Ward street</t>
  </si>
  <si>
    <t xml:space="preserve">Magnolia Shorty</t>
  </si>
  <si>
    <t xml:space="preserve">Lil JoJo</t>
  </si>
  <si>
    <t xml:space="preserve">Drill</t>
  </si>
  <si>
    <t xml:space="preserve">Chicago</t>
  </si>
  <si>
    <t xml:space="preserve">Chicago street (riding a bicycle)</t>
  </si>
  <si>
    <t xml:space="preserve">Lil Snupe</t>
  </si>
  <si>
    <t xml:space="preserve">Winnfield</t>
  </si>
  <si>
    <t xml:space="preserve">The Jacka</t>
  </si>
  <si>
    <t xml:space="preserve">Chinx</t>
  </si>
  <si>
    <t xml:space="preserve">Young Pappy</t>
  </si>
  <si>
    <t xml:space="preserve">Reported as 19 to 20</t>
  </si>
  <si>
    <t xml:space="preserve">Yes: posted a video mocking a rival gang a week before</t>
  </si>
  <si>
    <t xml:space="preserve">Donnie McFly</t>
  </si>
  <si>
    <t xml:space="preserve">Louisville</t>
  </si>
  <si>
    <t xml:space="preserve">Shooting after rap concert</t>
  </si>
  <si>
    <t xml:space="preserve">No suspects named at time of report</t>
  </si>
  <si>
    <t xml:space="preserve">West Kentucky St., after leaving a club</t>
  </si>
  <si>
    <t xml:space="preserve">Father of seven children</t>
  </si>
  <si>
    <t xml:space="preserve">https://www.wave3.com/story/29285738/louisville-rapper-donnie-mcfly-dies-after-being-shot-monday/</t>
  </si>
  <si>
    <t xml:space="preserve">Bankroll Fresh</t>
  </si>
  <si>
    <t xml:space="preserve">Atlanta</t>
  </si>
  <si>
    <t xml:space="preserve">Mr. 3-2</t>
  </si>
  <si>
    <t xml:space="preserve">XXXTentacion</t>
  </si>
  <si>
    <t xml:space="preserve">Deerfield Beach</t>
  </si>
  <si>
    <t xml:space="preserve">Shooting (robbery)</t>
  </si>
  <si>
    <t xml:space="preserve">Three men convicted of first-degree murder</t>
  </si>
  <si>
    <t xml:space="preserve">Car outside a motorcycle dealership</t>
  </si>
  <si>
    <t xml:space="preserve">https://grokipedia.com/page/List_of_murdered_musicians</t>
  </si>
  <si>
    <t xml:space="preserve">Jimmy Wopo</t>
  </si>
  <si>
    <t xml:space="preserve">Pittsburgh</t>
  </si>
  <si>
    <t xml:space="preserve">Pittsburgh street (drive-by)</t>
  </si>
  <si>
    <t xml:space="preserve">Young Greatness</t>
  </si>
  <si>
    <t xml:space="preserve">Outside a Waffle House</t>
  </si>
  <si>
    <t xml:space="preserve">Kevin Fret</t>
  </si>
  <si>
    <t xml:space="preserve">Latin trap</t>
  </si>
  <si>
    <t xml:space="preserve">San Juan</t>
  </si>
  <si>
    <t xml:space="preserve">Shooter convicted of first-degree murder, 60 years to life</t>
  </si>
  <si>
    <t xml:space="preserve">Outside his clothing store</t>
  </si>
  <si>
    <t xml:space="preserve">Pop Smoke</t>
  </si>
  <si>
    <t xml:space="preserve">Shooting (home invasion)</t>
  </si>
  <si>
    <t xml:space="preserve">Corey Walker 29 years (2025); juvenile shooter and accomplice also convicted</t>
  </si>
  <si>
    <t xml:space="preserve">Rented home, Hollywood Hills</t>
  </si>
  <si>
    <t xml:space="preserve">https://www.xxlmag.com/pop-smoke-killer-apology/</t>
  </si>
  <si>
    <t xml:space="preserve">Huey</t>
  </si>
  <si>
    <t xml:space="preserve">Kinloch</t>
  </si>
  <si>
    <t xml:space="preserve">FBG Duck</t>
  </si>
  <si>
    <t xml:space="preserve">Six alleged gang members convicted (2024)</t>
  </si>
  <si>
    <t xml:space="preserve">Chicago shopping district</t>
  </si>
  <si>
    <t xml:space="preserve">Six alleged gang members convicted</t>
  </si>
  <si>
    <t xml:space="preserve">King Von</t>
  </si>
  <si>
    <t xml:space="preserve">Outside an Atlanta nightclub</t>
  </si>
  <si>
    <t xml:space="preserve">MO3</t>
  </si>
  <si>
    <t xml:space="preserve">Rapper Yella Beezy charged in alleged murder-for-hire; trial pending</t>
  </si>
  <si>
    <t xml:space="preserve">Interstate 35E, Dallas</t>
  </si>
  <si>
    <t xml:space="preserve">https://www.fox4news.com/news/dallas-judge-weighs-rap-lyrics-evidence-before-yella-beezy-murder-trial</t>
  </si>
  <si>
    <t xml:space="preserve">Young Dolph</t>
  </si>
  <si>
    <t xml:space="preserve">Memphis</t>
  </si>
  <si>
    <t xml:space="preserve">Justin Johnson convicted of first-degree murder</t>
  </si>
  <si>
    <t xml:space="preserve">Makeda's Cookies bakery</t>
  </si>
  <si>
    <t xml:space="preserve">Drakeo the Ruler</t>
  </si>
  <si>
    <t xml:space="preserve">Stabbing backstage at festival</t>
  </si>
  <si>
    <t xml:space="preserve">Backstage at a music festival</t>
  </si>
  <si>
    <t xml:space="preserve">Snootie Wild</t>
  </si>
  <si>
    <t xml:space="preserve">Ivory Duke Williams arrested</t>
  </si>
  <si>
    <t xml:space="preserve">Found in a ditch on Alice Street</t>
  </si>
  <si>
    <t xml:space="preserve">https://www.fox26houston.com/news/houstons-rap-scene-mourns-another-shooting</t>
  </si>
  <si>
    <t xml:space="preserve">Goonew</t>
  </si>
  <si>
    <t xml:space="preserve">Prince George's County</t>
  </si>
  <si>
    <t xml:space="preserve">Archie Eversole</t>
  </si>
  <si>
    <t xml:space="preserve">Decatur</t>
  </si>
  <si>
    <t xml:space="preserve">Police said he was shot by his brother</t>
  </si>
  <si>
    <t xml:space="preserve">Trouble</t>
  </si>
  <si>
    <t xml:space="preserve">A friend's residence (home invasion)</t>
  </si>
  <si>
    <t xml:space="preserve">Notti Osama</t>
  </si>
  <si>
    <t xml:space="preserve">Stabbing</t>
  </si>
  <si>
    <t xml:space="preserve">Age 14</t>
  </si>
  <si>
    <t xml:space="preserve">Manhattan subway station</t>
  </si>
  <si>
    <t xml:space="preserve">JayDaYoungan</t>
  </si>
  <si>
    <t xml:space="preserve">Bogalusa</t>
  </si>
  <si>
    <t xml:space="preserve">Young Slo-Be</t>
  </si>
  <si>
    <t xml:space="preserve">Manteca</t>
  </si>
  <si>
    <t xml:space="preserve">PnB Rock</t>
  </si>
  <si>
    <t xml:space="preserve">Freddie Lee Trone convicted, 31 years to life</t>
  </si>
  <si>
    <t xml:space="preserve">Roscoe's Chicken and Waffles</t>
  </si>
  <si>
    <t xml:space="preserve">Killed in front of his fiancee</t>
  </si>
  <si>
    <t xml:space="preserve">Lotta Cash Desto</t>
  </si>
  <si>
    <t xml:space="preserve">Car at a traffic light, Richmond Ave.</t>
  </si>
  <si>
    <t xml:space="preserve">Takeoff</t>
  </si>
  <si>
    <t xml:space="preserve">Rap (Migos)</t>
  </si>
  <si>
    <t xml:space="preserve">Patrick Clark charged; trial set Nov 9, 2026</t>
  </si>
  <si>
    <t xml:space="preserve">Outside 810 Billiards &amp; Bowling</t>
  </si>
  <si>
    <t xml:space="preserve">Rocket Foundation, aimed at reducing gun violence</t>
  </si>
  <si>
    <t xml:space="preserve">BTB Savage</t>
  </si>
  <si>
    <t xml:space="preserve">Montrel Lenard Burley alleged</t>
  </si>
  <si>
    <t xml:space="preserve">Parking garage</t>
  </si>
  <si>
    <t xml:space="preserve">Julio Foolio</t>
  </si>
  <si>
    <t xml:space="preserve">Tampa</t>
  </si>
  <si>
    <t xml:space="preserve">Alicia Andrews convicted of manslaughter (2025); other defendants charged</t>
  </si>
  <si>
    <t xml:space="preserve">Hotel parking lot, Tampa</t>
  </si>
  <si>
    <t xml:space="preserve">Survived a shooting in 2023, months before he was killed</t>
  </si>
  <si>
    <t xml:space="preserve">https://en.wikipedia.org/wiki/Julio_Foolio</t>
  </si>
  <si>
    <t xml:space="preserve">EST Lu Mike</t>
  </si>
  <si>
    <t xml:space="preserve">Two killed, one wounded on Baxter Ave</t>
  </si>
  <si>
    <t xml:space="preserve">900 block of Baxter Ave.</t>
  </si>
  <si>
    <t xml:space="preserve">Crew's manager, EST Big Beach, killed three weeks earlier</t>
  </si>
  <si>
    <t xml:space="preserve">Yes: posted a snippet dissing rivals days before</t>
  </si>
  <si>
    <t xml:space="preserve">HavinMotion</t>
  </si>
  <si>
    <t xml:space="preserve">Washington</t>
  </si>
  <si>
    <t xml:space="preserve">BloodHound Q50</t>
  </si>
  <si>
    <t xml:space="preserve">Reported six gunmen</t>
  </si>
  <si>
    <t xml:space="preserve">Car, Chicago</t>
  </si>
  <si>
    <t xml:space="preserve">Bobby Fuller</t>
  </si>
  <si>
    <t xml:space="preserve">Rock &amp; roll</t>
  </si>
  <si>
    <t xml:space="preserve">Found dead in car</t>
  </si>
  <si>
    <t xml:space="preserve">Never ruled homicide; family believes murder</t>
  </si>
  <si>
    <t xml:space="preserve">Family car outside his apartment</t>
  </si>
  <si>
    <t xml:space="preserve">https://www.michigandaily.com/arts/b-side/who-killed-bobby-fuller-a-forgotten-rockers-final-bow/</t>
  </si>
  <si>
    <t xml:space="preserve">Rock</t>
  </si>
  <si>
    <t xml:space="preserve">Mark David Chapman</t>
  </si>
  <si>
    <t xml:space="preserve">Outside his apartment building, the Dakota</t>
  </si>
  <si>
    <t xml:space="preserve">https://en.wikipedia.org/wiki/List_of_murdered_musicians</t>
  </si>
  <si>
    <t xml:space="preserve">Rusty Day</t>
  </si>
  <si>
    <t xml:space="preserve">Longwood</t>
  </si>
  <si>
    <t xml:space="preserve">Felix Pappalardi</t>
  </si>
  <si>
    <t xml:space="preserve">Rock (Mountain)</t>
  </si>
  <si>
    <t xml:space="preserve">Wife Gail Pappalardi</t>
  </si>
  <si>
    <t xml:space="preserve">His apartment</t>
  </si>
  <si>
    <t xml:space="preserve">Walter Scott</t>
  </si>
  <si>
    <t xml:space="preserve">St. Peters</t>
  </si>
  <si>
    <t xml:space="preserve">Murder</t>
  </si>
  <si>
    <t xml:space="preserve">James H. Williams Sr.; wife pleaded to hindering prosecution</t>
  </si>
  <si>
    <t xml:space="preserve">https://en.wikipedia.org/wiki/Walter_Scott_(singer)</t>
  </si>
  <si>
    <t xml:space="preserve">Gary Driscoll</t>
  </si>
  <si>
    <t xml:space="preserve">Rock (Rainbow)</t>
  </si>
  <si>
    <t xml:space="preserve">Ithaca</t>
  </si>
  <si>
    <t xml:space="preserve">His home</t>
  </si>
  <si>
    <t xml:space="preserve">Punk (The Gits)</t>
  </si>
  <si>
    <t xml:space="preserve">Seattle</t>
  </si>
  <si>
    <t xml:space="preserve">Strangling</t>
  </si>
  <si>
    <t xml:space="preserve">Jesus Mezquia, DNA match 2002, 36 years. Buried in Louisville</t>
  </si>
  <si>
    <t xml:space="preserve">Walking home from a music venue</t>
  </si>
  <si>
    <t xml:space="preserve">Friends formed Home Alive self-defense group; bandmates raised $70,000 for a private investigator; The Gits Movie (2005)</t>
  </si>
  <si>
    <t xml:space="preserve">https://en.wikipedia.org/wiki/The_Gits</t>
  </si>
  <si>
    <t xml:space="preserve">Rodney "Rawn Beauty" Barger</t>
  </si>
  <si>
    <t xml:space="preserve">Punk (Cold as Life)</t>
  </si>
  <si>
    <t xml:space="preserve">Roommate Richard Werstine fled; caught in Panama Apr 2026</t>
  </si>
  <si>
    <t xml:space="preserve">Shared home, shot while asleep</t>
  </si>
  <si>
    <t xml:space="preserve">https://www.kktv.com/2026/05/20/man-accused-punk-rockers-death-1993-captured-after-decades-run/</t>
  </si>
  <si>
    <t xml:space="preserve">Rhett Forrester</t>
  </si>
  <si>
    <t xml:space="preserve">Heavy metal</t>
  </si>
  <si>
    <t xml:space="preserve">Punk</t>
  </si>
  <si>
    <t xml:space="preserve">Amarillo</t>
  </si>
  <si>
    <t xml:space="preserve">Run down by car</t>
  </si>
  <si>
    <t xml:space="preserve">Dustin Camp: manslaughter, probation and $10,000 fine</t>
  </si>
  <si>
    <t xml:space="preserve">Western Plaza shopping center lot by an IHOP</t>
  </si>
  <si>
    <t xml:space="preserve">Fight between the same groups at an IHOP a week earlier</t>
  </si>
  <si>
    <t xml:space="preserve">Film Bomb City (2017)</t>
  </si>
  <si>
    <t xml:space="preserve">Punk/anti-racist skin</t>
  </si>
  <si>
    <t xml:space="preserve">Shooting (ambush)</t>
  </si>
  <si>
    <t xml:space="preserve">John Butler, neo-Nazi; four life terms</t>
  </si>
  <si>
    <t xml:space="preserve">Some reports say 25</t>
  </si>
  <si>
    <t xml:space="preserve">Desert outside Las Vegas</t>
  </si>
  <si>
    <t xml:space="preserve">Repeated clashes with neo-Nazis; threatening note naming him found in killer's Jeep</t>
  </si>
  <si>
    <t xml:space="preserve">Documentary Murdered on the Fourth of July in production</t>
  </si>
  <si>
    <t xml:space="preserve">https://en.wikipedia.org/wiki/Lin_Newborn</t>
  </si>
  <si>
    <t xml:space="preserve">Jimmy "Orion" Ellis</t>
  </si>
  <si>
    <t xml:space="preserve">Orrville</t>
  </si>
  <si>
    <t xml:space="preserve">Murder (robbery)</t>
  </si>
  <si>
    <t xml:space="preserve">Jeffery Lee</t>
  </si>
  <si>
    <t xml:space="preserve">Columbus</t>
  </si>
  <si>
    <t xml:space="preserve">Shot onstage</t>
  </si>
  <si>
    <t xml:space="preserve">No charges</t>
  </si>
  <si>
    <t xml:space="preserve">Gunman Nathan Gale killed at scene</t>
  </si>
  <si>
    <t xml:space="preserve">Onstage at the Alrosa Villa nightclub</t>
  </si>
  <si>
    <t xml:space="preserve">Indie/folk rock</t>
  </si>
  <si>
    <t xml:space="preserve">Richmond</t>
  </si>
  <si>
    <t xml:space="preserve">Home invasion</t>
  </si>
  <si>
    <t xml:space="preserve">Ricky Gray and Ray Dandridge</t>
  </si>
  <si>
    <t xml:space="preserve">Family home (home invasion)</t>
  </si>
  <si>
    <t xml:space="preserve">Inspired a song by Patterson Hood</t>
  </si>
  <si>
    <t xml:space="preserve">Wife and two daughters were killed with him</t>
  </si>
  <si>
    <t xml:space="preserve">Blake Rhea</t>
  </si>
  <si>
    <t xml:space="preserve">Soul/blues-rock (Southern Avenue)</t>
  </si>
  <si>
    <t xml:space="preserve">Edward Wurl guilty, Oct 2026</t>
  </si>
  <si>
    <t xml:space="preserve">Born 1976; 47 or 48</t>
  </si>
  <si>
    <t xml:space="preserve">Outside a Midtown bar</t>
  </si>
  <si>
    <t xml:space="preserve">https://dailymemphian.com/article/67540/man-found-guilty-in-killing-of-memphis-musician-blake-rhea</t>
  </si>
  <si>
    <t xml:space="preserve">Year of crime</t>
  </si>
  <si>
    <t xml:space="preserve">Crime</t>
  </si>
  <si>
    <t xml:space="preserve">Fatal?</t>
  </si>
  <si>
    <t xml:space="preserve">Outcome</t>
  </si>
  <si>
    <t xml:space="preserve">Age at time of crime</t>
  </si>
  <si>
    <t xml:space="preserve">Victim's family left behind</t>
  </si>
  <si>
    <t xml:space="preserve">Dresta</t>
  </si>
  <si>
    <t xml:space="preserve">Gang shootout death</t>
  </si>
  <si>
    <t xml:space="preserve">Fatal</t>
  </si>
  <si>
    <t xml:space="preserve">No contest, voluntary manslaughter, probation</t>
  </si>
  <si>
    <t xml:space="preserve">Gang shootout, Watts</t>
  </si>
  <si>
    <t xml:space="preserve">https://www.liveabout.com/rappers-who-have-actually-killed-people-2857357</t>
  </si>
  <si>
    <t xml:space="preserve">X-Raided</t>
  </si>
  <si>
    <t xml:space="preserve">Sacramento</t>
  </si>
  <si>
    <t xml:space="preserve">31 years</t>
  </si>
  <si>
    <t xml:space="preserve">About 17; exact date of killing not given</t>
  </si>
  <si>
    <t xml:space="preserve">Paroled after 26 years</t>
  </si>
  <si>
    <t xml:space="preserve">https://zhiphopcleveland.com/6481204/wildest-rapper-crimes-list/</t>
  </si>
  <si>
    <t xml:space="preserve">G. Dep</t>
  </si>
  <si>
    <t xml:space="preserve">1993 shooting death (confessed 2010)</t>
  </si>
  <si>
    <t xml:space="preserve">15 years to life</t>
  </si>
  <si>
    <t xml:space="preserve">East Harlem street</t>
  </si>
  <si>
    <t xml:space="preserve">https://www.ranker.com/list/rappers-who-killed-people/ranker-hip-hop</t>
  </si>
  <si>
    <t xml:space="preserve">Snoop Dogg</t>
  </si>
  <si>
    <t xml:space="preserve">Shooting death (bodyguard fired)</t>
  </si>
  <si>
    <t xml:space="preserve">Not convicted</t>
  </si>
  <si>
    <t xml:space="preserve">Acquitted of murder, 1996</t>
  </si>
  <si>
    <t xml:space="preserve">Los Angeles park</t>
  </si>
  <si>
    <t xml:space="preserve">https://www.mensjournal.com/entertainment/lil-durk-trial-rap-lyrics-evidence-court</t>
  </si>
  <si>
    <t xml:space="preserve">J-Dee (Da Lench Mob)</t>
  </si>
  <si>
    <t xml:space="preserve">Life; maintains innocence</t>
  </si>
  <si>
    <t xml:space="preserve">Cool C</t>
  </si>
  <si>
    <t xml:space="preserve">Philadelphia</t>
  </si>
  <si>
    <t xml:space="preserve">Police officer killed in bank robbery</t>
  </si>
  <si>
    <t xml:space="preserve">First-degree murder, capital sentence</t>
  </si>
  <si>
    <t xml:space="preserve">Bank during a robbery</t>
  </si>
  <si>
    <t xml:space="preserve">Execution date was set for Jan 2015; current status not confirmed here</t>
  </si>
  <si>
    <t xml:space="preserve">Shyne</t>
  </si>
  <si>
    <t xml:space="preserve">Club New York shooting, bystanders wounded</t>
  </si>
  <si>
    <t xml:space="preserve">Non-fatal</t>
  </si>
  <si>
    <t xml:space="preserve">Assault, gun possession, reckless endangerment</t>
  </si>
  <si>
    <t xml:space="preserve">Club New York</t>
  </si>
  <si>
    <t xml:space="preserve">Mac Phipps</t>
  </si>
  <si>
    <t xml:space="preserve">Rap (No Limit)</t>
  </si>
  <si>
    <t xml:space="preserve">Slidell</t>
  </si>
  <si>
    <t xml:space="preserve">Club shooting death</t>
  </si>
  <si>
    <t xml:space="preserve">Manslaughter; later clemency; maintains innocence</t>
  </si>
  <si>
    <t xml:space="preserve">Nightclub</t>
  </si>
  <si>
    <t xml:space="preserve">Granted clemency after about 20 years; maintains innocence</t>
  </si>
  <si>
    <t xml:space="preserve">https://www.nbcnews.com/news/us-news/black-rappers-call-double-standard-using-hip-hop-lyrics-evidence-rappe-rcna65529</t>
  </si>
  <si>
    <t xml:space="preserve">C-Murder</t>
  </si>
  <si>
    <t xml:space="preserve">Harvey</t>
  </si>
  <si>
    <t xml:space="preserve">Killed 16-year-old fan Steve Thomas</t>
  </si>
  <si>
    <t xml:space="preserve">Second-degree murder, life; witnesses later recanted</t>
  </si>
  <si>
    <t xml:space="preserve">First conviction overturned 2006; reconvicted 2009; witnesses later recanted</t>
  </si>
  <si>
    <t xml:space="preserve">https://hiphopwired.com/playlist/10-rappers-currently-in-prison/</t>
  </si>
  <si>
    <t xml:space="preserve">Big Lurch</t>
  </si>
  <si>
    <t xml:space="preserve">Killed roommate Tynisha Ysais</t>
  </si>
  <si>
    <t xml:space="preserve">Murder, life</t>
  </si>
  <si>
    <t xml:space="preserve">Shared apartment</t>
  </si>
  <si>
    <t xml:space="preserve">Gucci Mane</t>
  </si>
  <si>
    <t xml:space="preserve">Shooting death</t>
  </si>
  <si>
    <t xml:space="preserve">Charge dropped; self-defense</t>
  </si>
  <si>
    <t xml:space="preserve">https://www.grunge.com/182849/musicians-who-have-killed-people/</t>
  </si>
  <si>
    <t xml:space="preserve">Cassidy</t>
  </si>
  <si>
    <t xml:space="preserve">Involuntary manslaughter, 11 to 23 months</t>
  </si>
  <si>
    <t xml:space="preserve">Max B</t>
  </si>
  <si>
    <t xml:space="preserve">Fort Lee</t>
  </si>
  <si>
    <t xml:space="preserve">Robbery/kidnapping that killed David Taylor</t>
  </si>
  <si>
    <t xml:space="preserve">Convicted 2009; sentence later reduced</t>
  </si>
  <si>
    <t xml:space="preserve">Sentence later reduced</t>
  </si>
  <si>
    <t xml:space="preserve">https://www.thetoptens.com/music/musicians-who-killed-someone/</t>
  </si>
  <si>
    <t xml:space="preserve">Mac Minister</t>
  </si>
  <si>
    <t xml:space="preserve">California</t>
  </si>
  <si>
    <t xml:space="preserve">Two murders</t>
  </si>
  <si>
    <t xml:space="preserve">Two counts first-degree murder (2008), life</t>
  </si>
  <si>
    <t xml:space="preserve">Suge Knight</t>
  </si>
  <si>
    <t xml:space="preserve">Label executive</t>
  </si>
  <si>
    <t xml:space="preserve">Compton</t>
  </si>
  <si>
    <t xml:space="preserve">Ran over two men, one killed</t>
  </si>
  <si>
    <t xml:space="preserve">No contest, voluntary manslaughter, 28 years</t>
  </si>
  <si>
    <t xml:space="preserve">Burger stand parking lot</t>
  </si>
  <si>
    <t xml:space="preserve">Tay-K</t>
  </si>
  <si>
    <t xml:space="preserve">Mansfield</t>
  </si>
  <si>
    <t xml:space="preserve">Robbery death; 2017 killing of Mark Saldivar</t>
  </si>
  <si>
    <t xml:space="preserve">55 years; second murder conviction 2025, 80 years</t>
  </si>
  <si>
    <t xml:space="preserve">Home invasion robbery</t>
  </si>
  <si>
    <t xml:space="preserve">NBA YoungBoy</t>
  </si>
  <si>
    <t xml:space="preserve">Baton Rouge</t>
  </si>
  <si>
    <t xml:space="preserve">Aggravated assault with firearm; suspended 10 years, probation</t>
  </si>
  <si>
    <t xml:space="preserve">Drive-by on Kentucky Street</t>
  </si>
  <si>
    <t xml:space="preserve">https://www.wafb.com/story/35496343/rapper-nba-youngboy-released-from-jail-after-pleading-guilty-to-lesser-charge</t>
  </si>
  <si>
    <t xml:space="preserve">Kodak Black</t>
  </si>
  <si>
    <t xml:space="preserve">Florence</t>
  </si>
  <si>
    <t xml:space="preserve">Assault of teen after concert</t>
  </si>
  <si>
    <t xml:space="preserve">First-degree assault and battery, probation</t>
  </si>
  <si>
    <t xml:space="preserve">Hotel after a concert</t>
  </si>
  <si>
    <t xml:space="preserve">Separate federal weapons sentence commuted Jan 2021</t>
  </si>
  <si>
    <t xml:space="preserve">https://www.wistv.com/2021/04/29/rapper-kodak-black-pleads-guilty-florence-co-case</t>
  </si>
  <si>
    <t xml:space="preserve">Murder/attempted murder</t>
  </si>
  <si>
    <t xml:space="preserve">Acquitted 2019</t>
  </si>
  <si>
    <t xml:space="preserve">Kidd Creole</t>
  </si>
  <si>
    <t xml:space="preserve">Rap (Furious Five)</t>
  </si>
  <si>
    <t xml:space="preserve">Stabbing death</t>
  </si>
  <si>
    <t xml:space="preserve">Manslaughter</t>
  </si>
  <si>
    <t xml:space="preserve">Manhattan street</t>
  </si>
  <si>
    <t xml:space="preserve">YNW Melly</t>
  </si>
  <si>
    <t xml:space="preserve">Miramar</t>
  </si>
  <si>
    <t xml:space="preserve">Jailed since 2019, not convicted</t>
  </si>
  <si>
    <t xml:space="preserve">Car</t>
  </si>
  <si>
    <t xml:space="preserve">Tory Lanez</t>
  </si>
  <si>
    <t xml:space="preserve">Shot Megan Thee Stallion</t>
  </si>
  <si>
    <t xml:space="preserve">Assault with semiautomatic firearm, 10 years</t>
  </si>
  <si>
    <t xml:space="preserve">Vehicle, Hollywood Hills</t>
  </si>
  <si>
    <t xml:space="preserve">https://www.xxlmag.com/rappers-in-jail-prison/</t>
  </si>
  <si>
    <t xml:space="preserve">Yella Beezy</t>
  </si>
  <si>
    <t xml:space="preserve">Alleged murder-for-hire of MO3</t>
  </si>
  <si>
    <t xml:space="preserve">Capital murder charge; trial pending</t>
  </si>
  <si>
    <t xml:space="preserve">Interstate 35E (alleged)</t>
  </si>
  <si>
    <t xml:space="preserve">Ronnie O'Bannon (Jack Harlow's DJ)</t>
  </si>
  <si>
    <t xml:space="preserve">Shot bartender Kasmira Nash</t>
  </si>
  <si>
    <t xml:space="preserve">Reckless homicide plea, 2.5 years (time served)</t>
  </si>
  <si>
    <t xml:space="preserve">Reported 29 at 2023 trial</t>
  </si>
  <si>
    <t xml:space="preserve">Vibes Restaurant and Ultra Lounge</t>
  </si>
  <si>
    <t xml:space="preserve">Suspected in the 2020 killing of Torre Foree, nine months earlier; victim had confronted him about it</t>
  </si>
  <si>
    <t xml:space="preserve">Nash family sued Jack Harlow, his associates and the club, alleging they bypassed security</t>
  </si>
  <si>
    <t xml:space="preserve">Kasmira Nash was a mother of two</t>
  </si>
  <si>
    <t xml:space="preserve">https://www.wave3.com/2023/12/05/dj-accused-killing-bartender-louisville-nightclub-will-not-serve-jail-time-after-taking-plea-deal/</t>
  </si>
  <si>
    <t xml:space="preserve">Lil Durk</t>
  </si>
  <si>
    <t xml:space="preserve">Alleged murder-for-hire (Quando Rondo's cousin killed)</t>
  </si>
  <si>
    <t xml:space="preserve">Acquitted Sept 2026; separate RICO trial pending</t>
  </si>
  <si>
    <t xml:space="preserve">Gas station (alleged)</t>
  </si>
  <si>
    <t xml:space="preserve">Separate racketeering trial pending</t>
  </si>
  <si>
    <t xml:space="preserve">https://www.revolt.tv/article/lil-durk-acquitted-all-charges-murder-for-hire-trial</t>
  </si>
  <si>
    <t xml:space="preserve">Sheff G</t>
  </si>
  <si>
    <t xml:space="preserve">Brooklyn</t>
  </si>
  <si>
    <t xml:space="preserve">Gang shootings</t>
  </si>
  <si>
    <t xml:space="preserve">Attempted murder plea, 5 years</t>
  </si>
  <si>
    <t xml:space="preserve">Pleaded guilty in a sweeping gang indictment, including conspiracy</t>
  </si>
  <si>
    <t xml:space="preserve">Lil Reese</t>
  </si>
  <si>
    <t xml:space="preserve">Texas</t>
  </si>
  <si>
    <t xml:space="preserve">Assault of family member</t>
  </si>
  <si>
    <t xml:space="preserve">Aggravated assault, 5 years</t>
  </si>
  <si>
    <t xml:space="preserve">Nino Paid</t>
  </si>
  <si>
    <t xml:space="preserve">Shooting death of Keion Borders</t>
  </si>
  <si>
    <t xml:space="preserve">Charged with murder, Oct 2026</t>
  </si>
  <si>
    <t xml:space="preserve">https://baltimoresun.com/2026/10/15/maryland-rapper-charged-felony-murder-atlanta</t>
  </si>
  <si>
    <t xml:space="preserve">Bobby Beausoleil</t>
  </si>
  <si>
    <t xml:space="preserve">Psychedelic rock</t>
  </si>
  <si>
    <t xml:space="preserve">Los Angeles area</t>
  </si>
  <si>
    <t xml:space="preserve">Murder of Gary Hinman</t>
  </si>
  <si>
    <t xml:space="preserve">Victim's home</t>
  </si>
  <si>
    <t xml:space="preserve">Sid Vicious</t>
  </si>
  <si>
    <t xml:space="preserve">Death of Nancy Spungen</t>
  </si>
  <si>
    <t xml:space="preserve">Charged; died before trial</t>
  </si>
  <si>
    <t xml:space="preserve">Chelsea Hotel</t>
  </si>
  <si>
    <t xml:space="preserve">https://listverse.com/2019/08/19/10-rock-and-metal-musicians-who-killed-someone/</t>
  </si>
  <si>
    <t xml:space="preserve">Jim Gordon</t>
  </si>
  <si>
    <t xml:space="preserve">Rock (Derek and the Dominos)</t>
  </si>
  <si>
    <t xml:space="preserve">Killed his mother</t>
  </si>
  <si>
    <t xml:space="preserve">Second-degree murder, 16 years to life</t>
  </si>
  <si>
    <t xml:space="preserve">His mother's home</t>
  </si>
  <si>
    <t xml:space="preserve">Vince Neil</t>
  </si>
  <si>
    <t xml:space="preserve">Hard rock (Motley Crue)</t>
  </si>
  <si>
    <t xml:space="preserve">Redondo Beach</t>
  </si>
  <si>
    <t xml:space="preserve">DUI crash killing Razzle</t>
  </si>
  <si>
    <t xml:space="preserve">Vehicular manslaughter, 30 days (served ~15)</t>
  </si>
  <si>
    <t xml:space="preserve">Car crash on a public road</t>
  </si>
  <si>
    <t xml:space="preserve">Tommy Lee</t>
  </si>
  <si>
    <t xml:space="preserve">Malibu</t>
  </si>
  <si>
    <t xml:space="preserve">Spousal battery</t>
  </si>
  <si>
    <t xml:space="preserve">No contest, 6 months jail</t>
  </si>
  <si>
    <t xml:space="preserve">Couple's home, Malibu</t>
  </si>
  <si>
    <t xml:space="preserve">On probation for 1996 battery of a photographer</t>
  </si>
  <si>
    <t xml:space="preserve">Jailed five more days in 2000 for violating parole</t>
  </si>
  <si>
    <t xml:space="preserve">Settled photographer's lawsuit</t>
  </si>
  <si>
    <t xml:space="preserve">https://www.nme.com/news/music/motley-crue-67-1390719</t>
  </si>
  <si>
    <t xml:space="preserve">Phil Spector</t>
  </si>
  <si>
    <t xml:space="preserve">Rock producer</t>
  </si>
  <si>
    <t xml:space="preserve">Alhambra</t>
  </si>
  <si>
    <t xml:space="preserve">Shot Lana Clarkson</t>
  </si>
  <si>
    <t xml:space="preserve">Second-degree murder, 19 years to life</t>
  </si>
  <si>
    <t xml:space="preserve">His mansion</t>
  </si>
  <si>
    <t xml:space="preserve">Tim Lambesis</t>
  </si>
  <si>
    <t xml:space="preserve">Metalcore (As I Lay Dying)</t>
  </si>
  <si>
    <t xml:space="preserve">San Diego County</t>
  </si>
  <si>
    <t xml:space="preserve">Murder-for-hire plot against wife</t>
  </si>
  <si>
    <t xml:space="preserve">Guilty plea, 6 years</t>
  </si>
  <si>
    <t xml:space="preserve">Plot arranged in meetings with undercover officer</t>
  </si>
  <si>
    <t xml:space="preserve">Clean criminal record before the plot</t>
  </si>
  <si>
    <t xml:space="preserve">Ex-wife filed a $2 million civil suit</t>
  </si>
  <si>
    <t xml:space="preserve">https://www.rollingstone.com/music/news/tim-lambesis-sentenced-to-six-years-in-jail-for-murder-for-hire-plot-20140516</t>
  </si>
  <si>
    <t xml:space="preserve">Theo Lengyel</t>
  </si>
  <si>
    <t xml:space="preserve">Experimental rock (Mr. Bungle)</t>
  </si>
  <si>
    <t xml:space="preserve">Capitola</t>
  </si>
  <si>
    <t xml:space="preserve">Murder of girlfriend Alice Hermann</t>
  </si>
  <si>
    <t xml:space="preserve">First-degree murder</t>
  </si>
  <si>
    <t xml:space="preserve">https://www.cbsnews.com/sanfrancisco/news/former-member-mr-bungle-theo-lengyel-guilty-first-degree-murder/</t>
  </si>
  <si>
    <t xml:space="preserve">Brady Ebert</t>
  </si>
  <si>
    <t xml:space="preserve">Hardcore punk (ex-Turnstile)</t>
  </si>
  <si>
    <t xml:space="preserve">Silver Spring</t>
  </si>
  <si>
    <t xml:space="preserve">Struck bandmate's father with car</t>
  </si>
  <si>
    <t xml:space="preserve">Charged with attempted murder</t>
  </si>
  <si>
    <t xml:space="preserve">Neighbor's driveway</t>
  </si>
  <si>
    <t xml:space="preserve">Band cut ties in 2022 over a pattern of harmful behavior; ongoing issues with the family</t>
  </si>
  <si>
    <t xml:space="preserve">https://www.cbsnews.com/baltimore/news/former-guitarist-baltimore-rock-band-turnstile-brady-ebert-attempted-murder/</t>
  </si>
  <si>
    <t xml:space="preserve">Event</t>
  </si>
  <si>
    <t xml:space="preserve">Scene</t>
  </si>
  <si>
    <t xml:space="preserve">Type</t>
  </si>
  <si>
    <t xml:space="preserve">Killed</t>
  </si>
  <si>
    <t xml:space="preserve">Injured</t>
  </si>
  <si>
    <t xml:space="preserve">Notes</t>
  </si>
  <si>
    <t xml:space="preserve">Consequences for the genre or venue</t>
  </si>
  <si>
    <t xml:space="preserve">Run-DMC Raising Hell tour, Long Beach Arena</t>
  </si>
  <si>
    <t xml:space="preserve">Long Beach</t>
  </si>
  <si>
    <t xml:space="preserve">Gang fighting before show</t>
  </si>
  <si>
    <t xml:space="preserve">About 40 injured; mayor threatened concert ban</t>
  </si>
  <si>
    <t xml:space="preserve">Mayor threatened to ban concerts; later shows used metal detectors</t>
  </si>
  <si>
    <t xml:space="preserve">https://www.upi.com/Archives/1986/08/19/Violence-plagues-rap-concerts/3627524808000/</t>
  </si>
  <si>
    <t xml:space="preserve">Run-DMC show, Nassau Coliseum</t>
  </si>
  <si>
    <t xml:space="preserve">Uniondale</t>
  </si>
  <si>
    <t xml:space="preserve">Stabbings</t>
  </si>
  <si>
    <t xml:space="preserve">Arena banned rap shows afterward</t>
  </si>
  <si>
    <t xml:space="preserve">Arena banned rap concerts (later lifted)</t>
  </si>
  <si>
    <t xml:space="preserve">Stop the Violence Movement formed; all-star single Self Destruction</t>
  </si>
  <si>
    <t xml:space="preserve">https://longislandpress.com/2017/04/05/17-times-entertainment-history-was-made-at-nassau-coliseum</t>
  </si>
  <si>
    <t xml:space="preserve">Lashawn "The Shizz" Talbert killing</t>
  </si>
  <si>
    <t xml:space="preserve">Club dance scene</t>
  </si>
  <si>
    <t xml:space="preserve">Kenneth Brown, 24 years</t>
  </si>
  <si>
    <t xml:space="preserve">https://www.wdrb.com/news/man-sentenced-in-killing-of-rapper-the-shizz/article_7e80fd47-8af1-5106-b648-50f14f525e85.html</t>
  </si>
  <si>
    <t xml:space="preserve">Bystander killed in NBA YoungBoy hotel shootout</t>
  </si>
  <si>
    <t xml:space="preserve">Shootout</t>
  </si>
  <si>
    <t xml:space="preserve">Police ruled entourage acted in self-defense</t>
  </si>
  <si>
    <t xml:space="preserve">https://www.theadvocate.com/baton_rouge/news/courts/article_ab6735e6-bf4e-11e9-a938-8fda5df7f67d.html</t>
  </si>
  <si>
    <t xml:space="preserve">Vibes Lounge Derby party shooting</t>
  </si>
  <si>
    <t xml:space="preserve">Shooting by Jack Harlow's DJ</t>
  </si>
  <si>
    <t xml:space="preserve">Reckless homicide plea</t>
  </si>
  <si>
    <t xml:space="preserve">Victim had confronted the shooter about an earlier killing</t>
  </si>
  <si>
    <t xml:space="preserve">Nash family sued Jack Harlow, his crew and the nightclub</t>
  </si>
  <si>
    <t xml:space="preserve">https://www.wdrb.com/news/crime-reports/former-jack-harlow-dj-wont-serve-more-jail-time-after-pleading-guilty-in-fatal-shooting/article_0130139c-9387-11ee-99bb-13a951aeea98.html</t>
  </si>
  <si>
    <t xml:space="preserve">Hialeah album-release concert shooting</t>
  </si>
  <si>
    <t xml:space="preserve">Hialeah</t>
  </si>
  <si>
    <t xml:space="preserve">Mass shooting</t>
  </si>
  <si>
    <t xml:space="preserve">Four charged in 2024</t>
  </si>
  <si>
    <t xml:space="preserve">https://en.wikipedia.org/wiki/2021_Hialeah_shooting</t>
  </si>
  <si>
    <t xml:space="preserve">Easter Bike Out &amp; Field Party (Big Boogie)</t>
  </si>
  <si>
    <t xml:space="preserve">https://deadline.com/2022/04/rap-concert-shooting-dallas-12-people-injured-one-dead-big-boogie-headliner-1234993366/</t>
  </si>
  <si>
    <t xml:space="preserve">EST Big Beach killed after EST Gee Summer Jam</t>
  </si>
  <si>
    <t xml:space="preserve">No suspects at time of reports</t>
  </si>
  <si>
    <t xml:space="preserve">Police publicly warned of a potential public-safety risk before the show</t>
  </si>
  <si>
    <t xml:space="preserve">Extra security added for the concert</t>
  </si>
  <si>
    <t xml:space="preserve">Pull Up Car Show &amp; Music Fest (Boosie set)</t>
  </si>
  <si>
    <t xml:space="preserve">Iowa</t>
  </si>
  <si>
    <t xml:space="preserve">Shooting in parking lot</t>
  </si>
  <si>
    <t xml:space="preserve">Concert cancelled</t>
  </si>
  <si>
    <t xml:space="preserve">https://www.iqmagazine.com/2024/08/concert-cancelled-after-two-killed-in-shooting/</t>
  </si>
  <si>
    <t xml:space="preserve">FieldHouse Lounge (Boosie performing)</t>
  </si>
  <si>
    <t xml:space="preserve">Akron</t>
  </si>
  <si>
    <t xml:space="preserve">Shooting during show</t>
  </si>
  <si>
    <t xml:space="preserve">Two critically injured</t>
  </si>
  <si>
    <t xml:space="preserve">Altamont Free Concert (Rolling Stones)</t>
  </si>
  <si>
    <t xml:space="preserve">Tracy</t>
  </si>
  <si>
    <t xml:space="preserve">Stabbing by Hells Angel security</t>
  </si>
  <si>
    <t xml:space="preserve">Alan Passaro acquitted, self-defense</t>
  </si>
  <si>
    <t xml:space="preserve">Documented in the film Gimme Shelter</t>
  </si>
  <si>
    <t xml:space="preserve">https://americansongwriter.com/5-cautionary-tales-of-rock-concerts-that-ended-in-tragedy</t>
  </si>
  <si>
    <t xml:space="preserve">Neo-Nazi skinhead attacks in Portland punk scene</t>
  </si>
  <si>
    <t xml:space="preserve">Portland</t>
  </si>
  <si>
    <t xml:space="preserve">Hate violence; killing of Mulugeta Seraw</t>
  </si>
  <si>
    <t xml:space="preserve">Ken Mieske life sentence</t>
  </si>
  <si>
    <t xml:space="preserve">Punk youth organized to push neo-Nazis out of Portland</t>
  </si>
  <si>
    <t xml:space="preserve">https://blog.pmpress.org/?p=31486</t>
  </si>
  <si>
    <t xml:space="preserve">Confederate Hammerskins, Dallas</t>
  </si>
  <si>
    <t xml:space="preserve">Punk/skinhead</t>
  </si>
  <si>
    <t xml:space="preserve">Gang recruited from punk scene</t>
  </si>
  <si>
    <t xml:space="preserve">Accused of 40+ crimes</t>
  </si>
  <si>
    <t xml:space="preserve">https://dal-experimental.voicemediagroup.com/?p=40567085</t>
  </si>
  <si>
    <t xml:space="preserve">Starry Night club murder</t>
  </si>
  <si>
    <t xml:space="preserve">Rock venue</t>
  </si>
  <si>
    <t xml:space="preserve">Owner killed publicist over ticket scam</t>
  </si>
  <si>
    <t xml:space="preserve">Owner Hurwitz convicted 2000; employee pleaded guilty</t>
  </si>
  <si>
    <t xml:space="preserve">https://en.wikipedia.org/wiki/Roseland_Theater</t>
  </si>
  <si>
    <t xml:space="preserve">Brian Deneke killing (punks vs. jocks)</t>
  </si>
  <si>
    <t xml:space="preserve">Vehicle assault after fight</t>
  </si>
  <si>
    <t xml:space="preserve">Manslaughter, probation</t>
  </si>
  <si>
    <t xml:space="preserve">Las Vegas desert murders (Newborn/Shersty)</t>
  </si>
  <si>
    <t xml:space="preserve">Neo-Nazi ambush of anti-racist skins</t>
  </si>
  <si>
    <t xml:space="preserve">John Butler, four life terms</t>
  </si>
  <si>
    <t xml:space="preserve">https://en.wikipedia.org/wiki/Daniel_Shersty</t>
  </si>
  <si>
    <t xml:space="preserve">Woodstock '99</t>
  </si>
  <si>
    <t xml:space="preserve">Rock/nu-metal</t>
  </si>
  <si>
    <t xml:space="preserve">Rome</t>
  </si>
  <si>
    <t xml:space="preserve">Riot, fires, sexual assaults reported</t>
  </si>
  <si>
    <t xml:space="preserve">Three deaths during festival</t>
  </si>
  <si>
    <t xml:space="preserve">Planned Woodstock 50 in 2019 never happened</t>
  </si>
  <si>
    <t xml:space="preserve">Flood of lawsuits against organizers</t>
  </si>
  <si>
    <t xml:space="preserve">https://americansongwriter.com/4-infamous-concert-tragedies-that-tell-a-cautionary-tale/?nb=1</t>
  </si>
  <si>
    <t xml:space="preserve">The Station nightclub fire (Great White)</t>
  </si>
  <si>
    <t xml:space="preserve">Hard rock</t>
  </si>
  <si>
    <t xml:space="preserve">West Warwick</t>
  </si>
  <si>
    <t xml:space="preserve">Pyrotechnics fire</t>
  </si>
  <si>
    <t xml:space="preserve">Tour manager: 100 counts involuntary manslaughter; owners no contest</t>
  </si>
  <si>
    <t xml:space="preserve">Claims against several parties, including the band, settled by 2008</t>
  </si>
  <si>
    <t xml:space="preserve">Station Fire Memorial Park opened 2017</t>
  </si>
  <si>
    <t xml:space="preserve">Alrosa Villa shooting (Damageplan)</t>
  </si>
  <si>
    <t xml:space="preserve">Gunman opened fire onstage</t>
  </si>
  <si>
    <t xml:space="preserve">Gunman killed at scene; Dimebag among dead</t>
  </si>
</sst>
</file>

<file path=xl/styles.xml><?xml version="1.0" encoding="utf-8"?>
<styleSheet xmlns="http://schemas.openxmlformats.org/spreadsheetml/2006/main">
  <numFmts count="4">
    <numFmt numFmtId="164" formatCode="General"/>
    <numFmt numFmtId="165" formatCode="0%"/>
    <numFmt numFmtId="166" formatCode="0.0"/>
    <numFmt numFmtId="167" formatCode="0"/>
  </numFmts>
  <fonts count="17">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i val="true"/>
      <sz val="9"/>
      <name val="Arial"/>
      <family val="0"/>
      <charset val="1"/>
    </font>
    <font>
      <b val="true"/>
      <sz val="11"/>
      <name val="Arial"/>
      <family val="0"/>
      <charset val="1"/>
    </font>
    <font>
      <b val="true"/>
      <sz val="11"/>
      <color rgb="FFFFFFFF"/>
      <name val="Arial"/>
      <family val="0"/>
      <charset val="1"/>
    </font>
    <font>
      <sz val="11"/>
      <name val="Arial"/>
      <family val="0"/>
      <charset val="1"/>
    </font>
    <font>
      <sz val="9"/>
      <name val="Arial"/>
      <family val="0"/>
      <charset val="1"/>
    </font>
    <font>
      <i val="true"/>
      <sz val="11"/>
      <name val="Arial"/>
      <family val="0"/>
      <charset val="1"/>
    </font>
    <font>
      <b val="true"/>
      <sz val="10"/>
      <color rgb="FF9C2A00"/>
      <name val="Arial"/>
      <family val="0"/>
      <charset val="1"/>
    </font>
    <font>
      <sz val="10"/>
      <name val="Arial"/>
      <family val="0"/>
      <charset val="1"/>
    </font>
    <font>
      <u val="single"/>
      <sz val="10"/>
      <color rgb="FF0563C1"/>
      <name val="Arial"/>
      <family val="0"/>
      <charset val="1"/>
    </font>
    <font>
      <b val="true"/>
      <sz val="11"/>
      <color rgb="FF9C2A00"/>
      <name val="Arial"/>
      <family val="0"/>
      <charset val="1"/>
    </font>
    <font>
      <b val="true"/>
      <sz val="10"/>
      <name val="Arial"/>
      <family val="0"/>
      <charset val="1"/>
    </font>
    <font>
      <i val="true"/>
      <sz val="10"/>
      <name val="Arial"/>
      <family val="0"/>
      <charset val="1"/>
    </font>
  </fonts>
  <fills count="3">
    <fill>
      <patternFill patternType="none"/>
    </fill>
    <fill>
      <patternFill patternType="gray125"/>
    </fill>
    <fill>
      <patternFill patternType="solid">
        <fgColor rgb="FF1F2A44"/>
        <bgColor rgb="FF003366"/>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true" applyProtection="false">
      <alignment horizontal="general" vertical="center"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4" fontId="13"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true" applyAlignment="true" applyProtection="false">
      <alignment horizontal="general" vertical="top" textRotation="0" wrapText="tru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true" applyProtection="false">
      <alignment horizontal="general" vertical="bottom" textRotation="0" wrapText="true" indent="0" shrinkToFit="false"/>
      <protection locked="true" hidden="false"/>
    </xf>
    <xf numFmtId="165" fontId="12" fillId="0" borderId="0" xfId="0" applyFont="true" applyBorder="false" applyAlignment="false" applyProtection="false">
      <alignment horizontal="general" vertical="bottom" textRotation="0" wrapText="false" indent="0" shrinkToFit="false"/>
      <protection locked="true" hidden="false"/>
    </xf>
    <xf numFmtId="166" fontId="12" fillId="0" borderId="0" xfId="0" applyFont="true" applyBorder="false" applyAlignment="false" applyProtection="false">
      <alignment horizontal="general" vertical="bottom" textRotation="0" wrapText="false" indent="0" shrinkToFit="false"/>
      <protection locked="true" hidden="false"/>
    </xf>
    <xf numFmtId="167" fontId="12"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ill>
        <patternFill patternType="solid">
          <fgColor rgb="FF1F2A44"/>
          <bgColor rgb="FF000000"/>
        </patternFill>
      </fill>
    </dxf>
    <dxf>
      <fill>
        <patternFill patternType="solid">
          <bgColor rgb="FF000000"/>
        </patternFill>
      </fill>
    </dxf>
    <dxf>
      <fill>
        <patternFill patternType="solid">
          <fgColor rgb="FFFFFFFF"/>
          <bgColor rgb="FF000000"/>
        </patternFill>
      </fill>
    </dxf>
    <dxf>
      <fill>
        <patternFill patternType="solid">
          <fgColor rgb="FF0563C1"/>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C2A00"/>
      <rgbColor rgb="FF993366"/>
      <rgbColor rgb="FF333399"/>
      <rgbColor rgb="FF1F2A4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tables/table1.xml><?xml version="1.0" encoding="utf-8"?>
<table xmlns="http://schemas.openxmlformats.org/spreadsheetml/2006/main" id="1" name="Perpetrators" displayName="Perpetrators" ref="A1:Y38" headerRowCount="1" totalsRowCount="0" totalsRowShown="0">
  <autoFilter ref="A1:Y38"/>
  <tableColumns count="25">
    <tableColumn id="1" name="Name"/>
    <tableColumn id="2" name="Genre"/>
    <tableColumn id="3" name="Subgenre / band"/>
    <tableColumn id="4" name="Year of crime"/>
    <tableColumn id="5" name="City"/>
    <tableColumn id="6" name="State"/>
    <tableColumn id="7" name="Crime"/>
    <tableColumn id="8" name="Fatal?"/>
    <tableColumn id="9" name="Status"/>
    <tableColumn id="10" name="Outcome"/>
    <tableColumn id="11" name="Motive"/>
    <tableColumn id="12" name="Age at time of crime"/>
    <tableColumn id="13" name="Age group"/>
    <tableColumn id="14" name="Age notes"/>
    <tableColumn id="15" name="Race"/>
    <tableColumn id="16" name="Location type"/>
    <tableColumn id="17" name="Specific place"/>
    <tableColumn id="18" name="Region"/>
    <tableColumn id="19" name="Prior warning signs"/>
    <tableColumn id="20" name="Online provocation before crime"/>
    <tableColumn id="21" name="Gang/RICO charges in court"/>
    <tableColumn id="22" name="Post-conviction changes"/>
    <tableColumn id="23" name="Civil suits"/>
    <tableColumn id="24" name="Victim's family left behind"/>
    <tableColumn id="25" name="Source"/>
  </tableColumns>
</table>
</file>

<file path=xl/tables/table2.xml><?xml version="1.0" encoding="utf-8"?>
<table xmlns="http://schemas.openxmlformats.org/spreadsheetml/2006/main" id="2" name="Scene" displayName="Scene" ref="A1:R20" headerRowCount="1" totalsRowCount="0" totalsRowShown="0">
  <autoFilter ref="A1:R20"/>
  <tableColumns count="18">
    <tableColumn id="1" name="Event"/>
    <tableColumn id="2" name="Genre"/>
    <tableColumn id="3" name="Scene"/>
    <tableColumn id="4" name="Year"/>
    <tableColumn id="5" name="City"/>
    <tableColumn id="6" name="State"/>
    <tableColumn id="7" name="Type"/>
    <tableColumn id="8" name="Killed"/>
    <tableColumn id="9" name="Injured"/>
    <tableColumn id="10" name="Status"/>
    <tableColumn id="11" name="Notes"/>
    <tableColumn id="12" name="Location type"/>
    <tableColumn id="13" name="Region"/>
    <tableColumn id="14" name="Prior warning signs"/>
    <tableColumn id="15" name="Consequences for the genre or venue"/>
    <tableColumn id="16" name="Civil suits"/>
    <tableColumn id="17" name="Aftermath and legacy"/>
    <tableColumn id="18" name="Source"/>
  </tableColumns>
</table>
</file>

<file path=xl/tables/table3.xml><?xml version="1.0" encoding="utf-8"?>
<table xmlns="http://schemas.openxmlformats.org/spreadsheetml/2006/main" id="3" name="Victims" displayName="Victims" ref="A1:AA72" headerRowCount="1" totalsRowCount="0" totalsRowShown="0">
  <autoFilter ref="A1:AA72"/>
  <tableColumns count="27">
    <tableColumn id="1" name="Name"/>
    <tableColumn id="2" name="Genre"/>
    <tableColumn id="3" name="Subgenre / band"/>
    <tableColumn id="4" name="Year"/>
    <tableColumn id="5" name="City"/>
    <tableColumn id="6" name="State"/>
    <tableColumn id="7" name="How killed"/>
    <tableColumn id="8" name="Case status"/>
    <tableColumn id="9" name="Outcome / notes"/>
    <tableColumn id="10" name="Motive"/>
    <tableColumn id="11" name="Victim age"/>
    <tableColumn id="12" name="Victim age group"/>
    <tableColumn id="13" name="Offender age (if reported)"/>
    <tableColumn id="14" name="Age notes"/>
    <tableColumn id="15" name="Victim race"/>
    <tableColumn id="16" name="Offender race (if reported)"/>
    <tableColumn id="17" name="Location type"/>
    <tableColumn id="18" name="Specific place"/>
    <tableColumn id="19" name="Region"/>
    <tableColumn id="20" name="Prior warning signs"/>
    <tableColumn id="21" name="Online provocation before crime"/>
    <tableColumn id="22" name="Gang/RICO charges in court"/>
    <tableColumn id="23" name="Post-conviction changes"/>
    <tableColumn id="24" name="Civil suits"/>
    <tableColumn id="25" name="Aftermath and legacy"/>
    <tableColumn id="26" name="Family left behind"/>
    <tableColumn id="27" name="Source"/>
  </tableColumns>
</table>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hyperlink" Target="https://en.wikipedia.org/wiki/Murder_of_Julio_Foolio" TargetMode="External"/><Relationship Id="rId2" Type="http://schemas.openxmlformats.org/officeDocument/2006/relationships/hyperlink" Target="https://jamn957.iheart.com/content/2024-08-15-est-gees-artist-est-lu-mike-reportedly-shot-killed" TargetMode="External"/><Relationship Id="rId3" Type="http://schemas.openxmlformats.org/officeDocument/2006/relationships/hyperlink" Target="https://www.cbsnews.com/losangeles/news/pnb-rock-murder-killing-freddie-lee-trone-guilty-conviction-sentence" TargetMode="External"/><Relationship Id="rId4" Type="http://schemas.openxmlformats.org/officeDocument/2006/relationships/hyperlink" Target="https://www.iheart.com/content/2026-02-12-takeoffs-murder-suspect-gets-trial-date/" TargetMode="External"/><Relationship Id="rId5" Type="http://schemas.openxmlformats.org/officeDocument/2006/relationships/hyperlink" Target="https://www.xxlmag.com/current-status-murdered-rappers-cases/" TargetMode="External"/><Relationship Id="rId6" Type="http://schemas.openxmlformats.org/officeDocument/2006/relationships/hyperlink" Target="https://en.wikipedia.org/wiki/List_of_murdered_hip-hop_musicians" TargetMode="External"/><Relationship Id="rId7" Type="http://schemas.openxmlformats.org/officeDocument/2006/relationships/hyperlink" Target="https://thedarksideofhumanity.com/musicians-who-killed-true-crime/" TargetMode="External"/><Relationship Id="rId8" Type="http://schemas.openxmlformats.org/officeDocument/2006/relationships/hyperlink" Target="https://www.watchmojo.com/articles/10-musicians-who-turned-to-murder" TargetMode="External"/><Relationship Id="rId9" Type="http://schemas.openxmlformats.org/officeDocument/2006/relationships/hyperlink" Target="https://en.wikipedia.org/wiki/2006_Richmond_spree_murders" TargetMode="External"/><Relationship Id="rId10" Type="http://schemas.openxmlformats.org/officeDocument/2006/relationships/hyperlink" Target="https://www.splcenter.org/?p=41833" TargetMode="External"/><Relationship Id="rId11" Type="http://schemas.openxmlformats.org/officeDocument/2006/relationships/hyperlink" Target="https://en.wikipedia.org/wiki/The_Station_nightclub_fire" TargetMode="External"/>
</Relationships>
</file>

<file path=xl/worksheets/_rels/sheet3.xml.rels><?xml version="1.0" encoding="UTF-8"?>
<Relationships xmlns="http://schemas.openxmlformats.org/package/2006/relationships"><Relationship Id="rId1" Type="http://schemas.openxmlformats.org/officeDocument/2006/relationships/hyperlink" Target="https://www.complex.com/music/a/markelibert/est-gees-manager-shot-and-killed" TargetMode="External"/><Relationship Id="rId2" Type="http://schemas.openxmlformats.org/officeDocument/2006/relationships/hyperlink" Target="https://jamn957.iheart.com/content/2024-08-15-est-gees-artist-est-lu-mike-reportedly-shot-killed" TargetMode="External"/><Relationship Id="rId3" Type="http://schemas.openxmlformats.org/officeDocument/2006/relationships/hyperlink" Target="https://www.cbsnews.com/losangeles/news/pnb-rock-murder-killing-freddie-lee-trone-guilty-conviction-sentence" TargetMode="External"/><Relationship Id="rId4" Type="http://schemas.openxmlformats.org/officeDocument/2006/relationships/hyperlink" Target="https://thedarksideofhumanity.com/musicians-who-killed-true-crime/" TargetMode="External"/><Relationship Id="rId5" Type="http://schemas.openxmlformats.org/officeDocument/2006/relationships/hyperlink" Target="https://en.wikipedia.org/wiki/Killing_of_Brian_Deneke" TargetMode="External"/><Relationship Id="rId6" Type="http://schemas.openxmlformats.org/officeDocument/2006/relationships/hyperlink" Target="https://en.wikipedia.org/wiki/Use_of_lyrics_as_evidence" TargetMode="External"/><Relationship Id="rId7" Type="http://schemas.openxmlformats.org/officeDocument/2006/relationships/hyperlink" Target="https://www.xxlmag.com/current-status-murdered-rappers-cases/" TargetMode="External"/>
</Relationships>
</file>

<file path=xl/worksheets/_rels/sheet8.xml.rels><?xml version="1.0" encoding="UTF-8"?>
<Relationships xmlns="http://schemas.openxmlformats.org/package/2006/relationships"><Relationship Id="rId1" Type="http://schemas.openxmlformats.org/officeDocument/2006/relationships/hyperlink" Target="https://www.xxlmag.com/current-status-murdered-rappers-cases/" TargetMode="External"/><Relationship Id="rId2" Type="http://schemas.openxmlformats.org/officeDocument/2006/relationships/hyperlink" Target="https://en.wikipedia.org/wiki/List_of_murdered_hip-hop_musicians" TargetMode="External"/><Relationship Id="rId3" Type="http://schemas.openxmlformats.org/officeDocument/2006/relationships/hyperlink" Target="https://en.wikipedia.org/wiki/List_of_murdered_hip-hop_musicians" TargetMode="External"/><Relationship Id="rId4" Type="http://schemas.openxmlformats.org/officeDocument/2006/relationships/hyperlink" Target="https://en.wikipedia.org/wiki/List_of_murdered_hip-hop_musicians" TargetMode="External"/><Relationship Id="rId5" Type="http://schemas.openxmlformats.org/officeDocument/2006/relationships/hyperlink" Target="https://en.wikipedia.org/wiki/List_of_murdered_hip-hop_musicians" TargetMode="External"/><Relationship Id="rId6" Type="http://schemas.openxmlformats.org/officeDocument/2006/relationships/hyperlink" Target="https://en.wikipedia.org/wiki/List_of_murdered_hip-hop_musicians" TargetMode="External"/><Relationship Id="rId7" Type="http://schemas.openxmlformats.org/officeDocument/2006/relationships/hyperlink" Target="https://www.aljazeera.com/news/2026/10/13/ex-gang-leader-gets-40-years-to-life-for-rapper-tupac-shakurs-1996-murder" TargetMode="External"/><Relationship Id="rId8" Type="http://schemas.openxmlformats.org/officeDocument/2006/relationships/hyperlink" Target="https://www.xxlmag.com/current-status-murdered-rappers-cases/" TargetMode="External"/><Relationship Id="rId9" Type="http://schemas.openxmlformats.org/officeDocument/2006/relationships/hyperlink" Target="https://en.wikipedia.org/wiki/List_of_murdered_hip-hop_musicians" TargetMode="External"/><Relationship Id="rId10" Type="http://schemas.openxmlformats.org/officeDocument/2006/relationships/hyperlink" Target="https://www.xxlmag.com/current-status-murdered-rappers-cases/" TargetMode="External"/><Relationship Id="rId11" Type="http://schemas.openxmlformats.org/officeDocument/2006/relationships/hyperlink" Target="https://www.yahoo.com/news/articles/exclusive-musician-murder-still-unsolved-180114128.html" TargetMode="External"/><Relationship Id="rId12" Type="http://schemas.openxmlformats.org/officeDocument/2006/relationships/hyperlink" Target="https://en.wikipedia.org/wiki/List_of_murdered_hip-hop_musicians" TargetMode="External"/><Relationship Id="rId13" Type="http://schemas.openxmlformats.org/officeDocument/2006/relationships/hyperlink" Target="https://www.aljazeera.com/news/2025/12/20/conviction-overturned-in-murder-of-rap-star-jam-master-jay-run-dmc-member" TargetMode="External"/><Relationship Id="rId14" Type="http://schemas.openxmlformats.org/officeDocument/2006/relationships/hyperlink" Target="https://en.wikipedia.org/wiki/List_of_murdered_hip-hop_musicians" TargetMode="External"/><Relationship Id="rId15" Type="http://schemas.openxmlformats.org/officeDocument/2006/relationships/hyperlink" Target="https://en.wikipedia.org/wiki/List_of_murdered_hip-hop_musicians" TargetMode="External"/><Relationship Id="rId16" Type="http://schemas.openxmlformats.org/officeDocument/2006/relationships/hyperlink" Target="https://www.xxlmag.com/current-status-murdered-rappers-cases/" TargetMode="External"/><Relationship Id="rId17" Type="http://schemas.openxmlformats.org/officeDocument/2006/relationships/hyperlink" Target="https://en.wikipedia.org/wiki/List_of_murdered_hip-hop_musicians" TargetMode="External"/><Relationship Id="rId18" Type="http://schemas.openxmlformats.org/officeDocument/2006/relationships/hyperlink" Target="https://en.wikipedia.org/wiki/List_of_murdered_hip-hop_musicians" TargetMode="External"/><Relationship Id="rId19" Type="http://schemas.openxmlformats.org/officeDocument/2006/relationships/hyperlink" Target="https://en.wikipedia.org/wiki/List_of_murdered_hip-hop_musicians" TargetMode="External"/><Relationship Id="rId20" Type="http://schemas.openxmlformats.org/officeDocument/2006/relationships/hyperlink" Target="https://en.wikipedia.org/wiki/List_of_murdered_hip-hop_musicians" TargetMode="External"/><Relationship Id="rId21" Type="http://schemas.openxmlformats.org/officeDocument/2006/relationships/hyperlink" Target="https://en.wikipedia.org/wiki/List_of_murdered_hip-hop_musicians" TargetMode="External"/><Relationship Id="rId22" Type="http://schemas.openxmlformats.org/officeDocument/2006/relationships/hyperlink" Target="https://en.wikipedia.org/wiki/List_of_murdered_hip-hop_musicians" TargetMode="External"/><Relationship Id="rId23" Type="http://schemas.openxmlformats.org/officeDocument/2006/relationships/hyperlink" Target="https://en.wikipedia.org/wiki/List_of_murdered_hip-hop_musicians" TargetMode="External"/><Relationship Id="rId24" Type="http://schemas.openxmlformats.org/officeDocument/2006/relationships/hyperlink" Target="https://en.wikipedia.org/wiki/List_of_murdered_hip-hop_musicians" TargetMode="External"/><Relationship Id="rId25" Type="http://schemas.openxmlformats.org/officeDocument/2006/relationships/hyperlink" Target="https://en.wikipedia.org/wiki/List_of_murdered_hip-hop_musicians" TargetMode="External"/><Relationship Id="rId26" Type="http://schemas.openxmlformats.org/officeDocument/2006/relationships/hyperlink" Target="https://en.wikipedia.org/wiki/List_of_murdered_hip-hop_musicians" TargetMode="External"/><Relationship Id="rId27" Type="http://schemas.openxmlformats.org/officeDocument/2006/relationships/hyperlink" Target="https://www.wave3.com/story/29285738/louisville-rapper-donnie-mcfly-dies-after-being-shot-monday/" TargetMode="External"/><Relationship Id="rId28" Type="http://schemas.openxmlformats.org/officeDocument/2006/relationships/hyperlink" Target="https://en.wikipedia.org/wiki/List_of_murdered_hip-hop_musicians" TargetMode="External"/><Relationship Id="rId29" Type="http://schemas.openxmlformats.org/officeDocument/2006/relationships/hyperlink" Target="https://en.wikipedia.org/wiki/List_of_murdered_hip-hop_musicians" TargetMode="External"/><Relationship Id="rId30" Type="http://schemas.openxmlformats.org/officeDocument/2006/relationships/hyperlink" Target="https://grokipedia.com/page/List_of_murdered_musicians" TargetMode="External"/><Relationship Id="rId31" Type="http://schemas.openxmlformats.org/officeDocument/2006/relationships/hyperlink" Target="https://en.wikipedia.org/wiki/List_of_murdered_hip-hop_musicians" TargetMode="External"/><Relationship Id="rId32" Type="http://schemas.openxmlformats.org/officeDocument/2006/relationships/hyperlink" Target="https://en.wikipedia.org/wiki/List_of_murdered_hip-hop_musicians" TargetMode="External"/><Relationship Id="rId33" Type="http://schemas.openxmlformats.org/officeDocument/2006/relationships/hyperlink" Target="https://en.wikipedia.org/wiki/List_of_murdered_hip-hop_musicians" TargetMode="External"/><Relationship Id="rId34" Type="http://schemas.openxmlformats.org/officeDocument/2006/relationships/hyperlink" Target="https://grokipedia.com/page/List_of_murdered_musicians" TargetMode="External"/><Relationship Id="rId35" Type="http://schemas.openxmlformats.org/officeDocument/2006/relationships/hyperlink" Target="https://www.xxlmag.com/pop-smoke-killer-apology/" TargetMode="External"/><Relationship Id="rId36" Type="http://schemas.openxmlformats.org/officeDocument/2006/relationships/hyperlink" Target="https://en.wikipedia.org/wiki/List_of_murdered_hip-hop_musicians" TargetMode="External"/><Relationship Id="rId37" Type="http://schemas.openxmlformats.org/officeDocument/2006/relationships/hyperlink" Target="https://en.wikipedia.org/wiki/List_of_murdered_hip-hop_musicians" TargetMode="External"/><Relationship Id="rId38" Type="http://schemas.openxmlformats.org/officeDocument/2006/relationships/hyperlink" Target="https://en.wikipedia.org/wiki/List_of_murdered_hip-hop_musicians" TargetMode="External"/><Relationship Id="rId39" Type="http://schemas.openxmlformats.org/officeDocument/2006/relationships/hyperlink" Target="https://www.fox4news.com/news/dallas-judge-weighs-rap-lyrics-evidence-before-yella-beezy-murder-trial" TargetMode="External"/><Relationship Id="rId40" Type="http://schemas.openxmlformats.org/officeDocument/2006/relationships/hyperlink" Target="https://grokipedia.com/page/List_of_murdered_musicians" TargetMode="External"/><Relationship Id="rId41" Type="http://schemas.openxmlformats.org/officeDocument/2006/relationships/hyperlink" Target="https://en.wikipedia.org/wiki/List_of_murdered_hip-hop_musicians" TargetMode="External"/><Relationship Id="rId42" Type="http://schemas.openxmlformats.org/officeDocument/2006/relationships/hyperlink" Target="https://www.fox26houston.com/news/houstons-rap-scene-mourns-another-shooting" TargetMode="External"/><Relationship Id="rId43" Type="http://schemas.openxmlformats.org/officeDocument/2006/relationships/hyperlink" Target="https://en.wikipedia.org/wiki/List_of_murdered_hip-hop_musicians" TargetMode="External"/><Relationship Id="rId44" Type="http://schemas.openxmlformats.org/officeDocument/2006/relationships/hyperlink" Target="https://en.wikipedia.org/wiki/List_of_murdered_hip-hop_musicians" TargetMode="External"/><Relationship Id="rId45" Type="http://schemas.openxmlformats.org/officeDocument/2006/relationships/hyperlink" Target="https://en.wikipedia.org/wiki/List_of_murdered_hip-hop_musicians" TargetMode="External"/><Relationship Id="rId46" Type="http://schemas.openxmlformats.org/officeDocument/2006/relationships/hyperlink" Target="https://en.wikipedia.org/wiki/List_of_murdered_hip-hop_musicians" TargetMode="External"/><Relationship Id="rId47" Type="http://schemas.openxmlformats.org/officeDocument/2006/relationships/hyperlink" Target="https://en.wikipedia.org/wiki/List_of_murdered_hip-hop_musicians" TargetMode="External"/><Relationship Id="rId48" Type="http://schemas.openxmlformats.org/officeDocument/2006/relationships/hyperlink" Target="https://en.wikipedia.org/wiki/List_of_murdered_hip-hop_musicians" TargetMode="External"/><Relationship Id="rId49" Type="http://schemas.openxmlformats.org/officeDocument/2006/relationships/hyperlink" Target="https://www.cbsnews.com/losangeles/news/pnb-rock-murder-killing-freddie-lee-trone-guilty-conviction-sentence" TargetMode="External"/><Relationship Id="rId50" Type="http://schemas.openxmlformats.org/officeDocument/2006/relationships/hyperlink" Target="https://www.fox26houston.com/news/houstons-rap-scene-mourns-another-shooting" TargetMode="External"/><Relationship Id="rId51" Type="http://schemas.openxmlformats.org/officeDocument/2006/relationships/hyperlink" Target="https://www.iheart.com/content/2026-02-12-takeoffs-murder-suspect-gets-trial-date/" TargetMode="External"/><Relationship Id="rId52" Type="http://schemas.openxmlformats.org/officeDocument/2006/relationships/hyperlink" Target="https://www.fox26houston.com/news/houstons-rap-scene-mourns-another-shooting" TargetMode="External"/><Relationship Id="rId53" Type="http://schemas.openxmlformats.org/officeDocument/2006/relationships/hyperlink" Target="https://en.wikipedia.org/wiki/Julio_Foolio" TargetMode="External"/><Relationship Id="rId54" Type="http://schemas.openxmlformats.org/officeDocument/2006/relationships/hyperlink" Target="https://jamn957.iheart.com/content/2024-08-15-est-gees-artist-est-lu-mike-reportedly-shot-killed" TargetMode="External"/><Relationship Id="rId55" Type="http://schemas.openxmlformats.org/officeDocument/2006/relationships/hyperlink" Target="https://en.wikipedia.org/wiki/List_of_murdered_hip-hop_musicians" TargetMode="External"/><Relationship Id="rId56" Type="http://schemas.openxmlformats.org/officeDocument/2006/relationships/hyperlink" Target="https://www.xxlmag.com/current-status-murdered-rappers-cases/" TargetMode="External"/><Relationship Id="rId57" Type="http://schemas.openxmlformats.org/officeDocument/2006/relationships/hyperlink" Target="https://www.michigandaily.com/arts/b-side/who-killed-bobby-fuller-a-forgotten-rockers-final-bow/" TargetMode="External"/><Relationship Id="rId58" Type="http://schemas.openxmlformats.org/officeDocument/2006/relationships/hyperlink" Target="https://en.wikipedia.org/wiki/List_of_murdered_musicians" TargetMode="External"/><Relationship Id="rId59" Type="http://schemas.openxmlformats.org/officeDocument/2006/relationships/hyperlink" Target="https://en.wikipedia.org/wiki/List_of_murdered_musicians" TargetMode="External"/><Relationship Id="rId60" Type="http://schemas.openxmlformats.org/officeDocument/2006/relationships/hyperlink" Target="https://en.wikipedia.org/wiki/List_of_murdered_musicians" TargetMode="External"/><Relationship Id="rId61" Type="http://schemas.openxmlformats.org/officeDocument/2006/relationships/hyperlink" Target="https://en.wikipedia.org/wiki/Walter_Scott_(singer)" TargetMode="External"/><Relationship Id="rId62" Type="http://schemas.openxmlformats.org/officeDocument/2006/relationships/hyperlink" Target="https://en.wikipedia.org/wiki/List_of_murdered_musicians" TargetMode="External"/><Relationship Id="rId63" Type="http://schemas.openxmlformats.org/officeDocument/2006/relationships/hyperlink" Target="https://en.wikipedia.org/wiki/The_Gits" TargetMode="External"/><Relationship Id="rId64" Type="http://schemas.openxmlformats.org/officeDocument/2006/relationships/hyperlink" Target="https://www.kktv.com/2026/05/20/man-accused-punk-rockers-death-1993-captured-after-decades-run/" TargetMode="External"/><Relationship Id="rId65" Type="http://schemas.openxmlformats.org/officeDocument/2006/relationships/hyperlink" Target="https://en.wikipedia.org/wiki/List_of_murdered_musicians" TargetMode="External"/><Relationship Id="rId66" Type="http://schemas.openxmlformats.org/officeDocument/2006/relationships/hyperlink" Target="https://en.wikipedia.org/wiki/Killing_of_Brian_Deneke" TargetMode="External"/><Relationship Id="rId67" Type="http://schemas.openxmlformats.org/officeDocument/2006/relationships/hyperlink" Target="https://en.wikipedia.org/wiki/Lin_Newborn" TargetMode="External"/><Relationship Id="rId68" Type="http://schemas.openxmlformats.org/officeDocument/2006/relationships/hyperlink" Target="https://en.wikipedia.org/wiki/List_of_murdered_musicians" TargetMode="External"/><Relationship Id="rId69" Type="http://schemas.openxmlformats.org/officeDocument/2006/relationships/hyperlink" Target="https://en.wikipedia.org/wiki/List_of_murdered_musicians" TargetMode="External"/><Relationship Id="rId70" Type="http://schemas.openxmlformats.org/officeDocument/2006/relationships/hyperlink" Target="https://en.wikipedia.org/wiki/2006_Richmond_spree_murders" TargetMode="External"/><Relationship Id="rId71" Type="http://schemas.openxmlformats.org/officeDocument/2006/relationships/hyperlink" Target="https://dailymemphian.com/article/67540/man-found-guilty-in-killing-of-memphis-musician-blake-rhea" TargetMode="External"/><Relationship Id="rId72" Type="http://schemas.openxmlformats.org/officeDocument/2006/relationships/table" Target="../tables/table3.xml"/>
</Relationships>
</file>

<file path=xl/worksheets/_rels/sheet9.xml.rels><?xml version="1.0" encoding="UTF-8"?>
<Relationships xmlns="http://schemas.openxmlformats.org/package/2006/relationships"><Relationship Id="rId1" Type="http://schemas.openxmlformats.org/officeDocument/2006/relationships/hyperlink" Target="https://www.liveabout.com/rappers-who-have-actually-killed-people-2857357" TargetMode="External"/><Relationship Id="rId2" Type="http://schemas.openxmlformats.org/officeDocument/2006/relationships/hyperlink" Target="https://zhiphopcleveland.com/6481204/wildest-rapper-crimes-list/" TargetMode="External"/><Relationship Id="rId3" Type="http://schemas.openxmlformats.org/officeDocument/2006/relationships/hyperlink" Target="https://www.ranker.com/list/rappers-who-killed-people/ranker-hip-hop" TargetMode="External"/><Relationship Id="rId4" Type="http://schemas.openxmlformats.org/officeDocument/2006/relationships/hyperlink" Target="https://www.mensjournal.com/entertainment/lil-durk-trial-rap-lyrics-evidence-court" TargetMode="External"/><Relationship Id="rId5" Type="http://schemas.openxmlformats.org/officeDocument/2006/relationships/hyperlink" Target="https://www.liveabout.com/rappers-who-have-actually-killed-people-2857357" TargetMode="External"/><Relationship Id="rId6" Type="http://schemas.openxmlformats.org/officeDocument/2006/relationships/hyperlink" Target="https://www.ranker.com/list/rappers-who-killed-people/ranker-hip-hop" TargetMode="External"/><Relationship Id="rId7" Type="http://schemas.openxmlformats.org/officeDocument/2006/relationships/hyperlink" Target="https://zhiphopcleveland.com/6481204/wildest-rapper-crimes-list/" TargetMode="External"/><Relationship Id="rId8" Type="http://schemas.openxmlformats.org/officeDocument/2006/relationships/hyperlink" Target="https://www.nbcnews.com/news/us-news/black-rappers-call-double-standard-using-hip-hop-lyrics-evidence-rappe-rcna65529" TargetMode="External"/><Relationship Id="rId9" Type="http://schemas.openxmlformats.org/officeDocument/2006/relationships/hyperlink" Target="https://hiphopwired.com/playlist/10-rappers-currently-in-prison/" TargetMode="External"/><Relationship Id="rId10" Type="http://schemas.openxmlformats.org/officeDocument/2006/relationships/hyperlink" Target="https://www.ranker.com/list/rappers-who-killed-people/ranker-hip-hop" TargetMode="External"/><Relationship Id="rId11" Type="http://schemas.openxmlformats.org/officeDocument/2006/relationships/hyperlink" Target="https://www.grunge.com/182849/musicians-who-have-killed-people/" TargetMode="External"/><Relationship Id="rId12" Type="http://schemas.openxmlformats.org/officeDocument/2006/relationships/hyperlink" Target="https://www.grunge.com/182849/musicians-who-have-killed-people/" TargetMode="External"/><Relationship Id="rId13" Type="http://schemas.openxmlformats.org/officeDocument/2006/relationships/hyperlink" Target="https://www.thetoptens.com/music/musicians-who-killed-someone/" TargetMode="External"/><Relationship Id="rId14" Type="http://schemas.openxmlformats.org/officeDocument/2006/relationships/hyperlink" Target="https://www.liveabout.com/rappers-who-have-actually-killed-people-2857357" TargetMode="External"/><Relationship Id="rId15" Type="http://schemas.openxmlformats.org/officeDocument/2006/relationships/hyperlink" Target="https://www.grunge.com/182849/musicians-who-have-killed-people/" TargetMode="External"/><Relationship Id="rId16" Type="http://schemas.openxmlformats.org/officeDocument/2006/relationships/hyperlink" Target="https://hiphopwired.com/playlist/10-rappers-currently-in-prison/" TargetMode="External"/><Relationship Id="rId17" Type="http://schemas.openxmlformats.org/officeDocument/2006/relationships/hyperlink" Target="https://www.wafb.com/story/35496343/rapper-nba-youngboy-released-from-jail-after-pleading-guilty-to-lesser-charge" TargetMode="External"/><Relationship Id="rId18" Type="http://schemas.openxmlformats.org/officeDocument/2006/relationships/hyperlink" Target="https://www.wistv.com/2021/04/29/rapper-kodak-black-pleads-guilty-florence-co-case" TargetMode="External"/><Relationship Id="rId19" Type="http://schemas.openxmlformats.org/officeDocument/2006/relationships/hyperlink" Target="https://www.mensjournal.com/entertainment/lil-durk-trial-rap-lyrics-evidence-court" TargetMode="External"/><Relationship Id="rId20" Type="http://schemas.openxmlformats.org/officeDocument/2006/relationships/hyperlink" Target="https://www.ranker.com/list/rappers-who-killed-people/ranker-hip-hop" TargetMode="External"/><Relationship Id="rId21" Type="http://schemas.openxmlformats.org/officeDocument/2006/relationships/hyperlink" Target="https://hiphopwired.com/playlist/10-rappers-currently-in-prison/" TargetMode="External"/><Relationship Id="rId22" Type="http://schemas.openxmlformats.org/officeDocument/2006/relationships/hyperlink" Target="https://www.xxlmag.com/rappers-in-jail-prison/" TargetMode="External"/><Relationship Id="rId23" Type="http://schemas.openxmlformats.org/officeDocument/2006/relationships/hyperlink" Target="https://www.fox4news.com/news/dallas-judge-weighs-rap-lyrics-evidence-before-yella-beezy-murder-trial" TargetMode="External"/><Relationship Id="rId24" Type="http://schemas.openxmlformats.org/officeDocument/2006/relationships/hyperlink" Target="https://www.wave3.com/2023/12/05/dj-accused-killing-bartender-louisville-nightclub-will-not-serve-jail-time-after-taking-plea-deal/" TargetMode="External"/><Relationship Id="rId25" Type="http://schemas.openxmlformats.org/officeDocument/2006/relationships/hyperlink" Target="https://www.revolt.tv/article/lil-durk-acquitted-all-charges-murder-for-hire-trial" TargetMode="External"/><Relationship Id="rId26" Type="http://schemas.openxmlformats.org/officeDocument/2006/relationships/hyperlink" Target="https://hiphopwired.com/playlist/10-rappers-currently-in-prison/" TargetMode="External"/><Relationship Id="rId27" Type="http://schemas.openxmlformats.org/officeDocument/2006/relationships/hyperlink" Target="https://www.xxlmag.com/rappers-in-jail-prison/" TargetMode="External"/><Relationship Id="rId28" Type="http://schemas.openxmlformats.org/officeDocument/2006/relationships/hyperlink" Target="https://baltimoresun.com/2026/10/15/maryland-rapper-charged-felony-murder-atlanta" TargetMode="External"/><Relationship Id="rId29" Type="http://schemas.openxmlformats.org/officeDocument/2006/relationships/hyperlink" Target="https://www.watchmojo.com/articles/10-musicians-who-turned-to-murder" TargetMode="External"/><Relationship Id="rId30" Type="http://schemas.openxmlformats.org/officeDocument/2006/relationships/hyperlink" Target="https://listverse.com/2019/08/19/10-rock-and-metal-musicians-who-killed-someone/" TargetMode="External"/><Relationship Id="rId31" Type="http://schemas.openxmlformats.org/officeDocument/2006/relationships/hyperlink" Target="https://thedarksideofhumanity.com/musicians-who-killed-true-crime/" TargetMode="External"/><Relationship Id="rId32" Type="http://schemas.openxmlformats.org/officeDocument/2006/relationships/hyperlink" Target="https://thedarksideofhumanity.com/musicians-who-killed-true-crime/" TargetMode="External"/><Relationship Id="rId33" Type="http://schemas.openxmlformats.org/officeDocument/2006/relationships/hyperlink" Target="https://www.nme.com/news/music/motley-crue-67-1390719" TargetMode="External"/><Relationship Id="rId34" Type="http://schemas.openxmlformats.org/officeDocument/2006/relationships/hyperlink" Target="https://www.watchmojo.com/articles/10-musicians-who-turned-to-murder" TargetMode="External"/><Relationship Id="rId35" Type="http://schemas.openxmlformats.org/officeDocument/2006/relationships/hyperlink" Target="https://www.rollingstone.com/music/news/tim-lambesis-sentenced-to-six-years-in-jail-for-murder-for-hire-plot-20140516" TargetMode="External"/><Relationship Id="rId36" Type="http://schemas.openxmlformats.org/officeDocument/2006/relationships/hyperlink" Target="https://www.cbsnews.com/sanfrancisco/news/former-member-mr-bungle-theo-lengyel-guilty-first-degree-murder/" TargetMode="External"/><Relationship Id="rId37" Type="http://schemas.openxmlformats.org/officeDocument/2006/relationships/hyperlink" Target="https://www.cbsnews.com/baltimore/news/former-guitarist-baltimore-rock-band-turnstile-brady-ebert-attempted-murder/" TargetMode="External"/><Relationship Id="rId38" Type="http://schemas.openxmlformats.org/officeDocument/2006/relationships/table" Target="../tables/table1.xml"/>
</Relationships>
</file>

<file path=xl/worksheets/_rels/sheet10.xml.rels><?xml version="1.0" encoding="UTF-8"?>
<Relationships xmlns="http://schemas.openxmlformats.org/package/2006/relationships"><Relationship Id="rId1" Type="http://schemas.openxmlformats.org/officeDocument/2006/relationships/hyperlink" Target="https://www.upi.com/Archives/1986/08/19/Violence-plagues-rap-concerts/3627524808000/" TargetMode="External"/><Relationship Id="rId2" Type="http://schemas.openxmlformats.org/officeDocument/2006/relationships/hyperlink" Target="https://longislandpress.com/2017/04/05/17-times-entertainment-history-was-made-at-nassau-coliseum" TargetMode="External"/><Relationship Id="rId3" Type="http://schemas.openxmlformats.org/officeDocument/2006/relationships/hyperlink" Target="https://www.wdrb.com/news/man-sentenced-in-killing-of-rapper-the-shizz/article_7e80fd47-8af1-5106-b648-50f14f525e85.html" TargetMode="External"/><Relationship Id="rId4" Type="http://schemas.openxmlformats.org/officeDocument/2006/relationships/hyperlink" Target="https://www.theadvocate.com/baton_rouge/news/courts/article_ab6735e6-bf4e-11e9-a938-8fda5df7f67d.html" TargetMode="External"/><Relationship Id="rId5" Type="http://schemas.openxmlformats.org/officeDocument/2006/relationships/hyperlink" Target="https://www.wdrb.com/news/crime-reports/former-jack-harlow-dj-wont-serve-more-jail-time-after-pleading-guilty-in-fatal-shooting/article_0130139c-9387-11ee-99bb-13a951aeea98.html" TargetMode="External"/><Relationship Id="rId6" Type="http://schemas.openxmlformats.org/officeDocument/2006/relationships/hyperlink" Target="https://en.wikipedia.org/wiki/2021_Hialeah_shooting" TargetMode="External"/><Relationship Id="rId7" Type="http://schemas.openxmlformats.org/officeDocument/2006/relationships/hyperlink" Target="https://deadline.com/2022/04/rap-concert-shooting-dallas-12-people-injured-one-dead-big-boogie-headliner-1234993366/" TargetMode="External"/><Relationship Id="rId8" Type="http://schemas.openxmlformats.org/officeDocument/2006/relationships/hyperlink" Target="https://www.complex.com/music/a/markelibert/est-gees-manager-shot-and-killed" TargetMode="External"/><Relationship Id="rId9" Type="http://schemas.openxmlformats.org/officeDocument/2006/relationships/hyperlink" Target="https://www.iqmagazine.com/2024/08/concert-cancelled-after-two-killed-in-shooting/" TargetMode="External"/><Relationship Id="rId10" Type="http://schemas.openxmlformats.org/officeDocument/2006/relationships/hyperlink" Target="https://www.iqmagazine.com/2024/08/concert-cancelled-after-two-killed-in-shooting/" TargetMode="External"/><Relationship Id="rId11" Type="http://schemas.openxmlformats.org/officeDocument/2006/relationships/hyperlink" Target="https://americansongwriter.com/5-cautionary-tales-of-rock-concerts-that-ended-in-tragedy" TargetMode="External"/><Relationship Id="rId12" Type="http://schemas.openxmlformats.org/officeDocument/2006/relationships/hyperlink" Target="https://blog.pmpress.org/?p=31486" TargetMode="External"/><Relationship Id="rId13" Type="http://schemas.openxmlformats.org/officeDocument/2006/relationships/hyperlink" Target="https://dal-experimental.voicemediagroup.com/?p=40567085" TargetMode="External"/><Relationship Id="rId14" Type="http://schemas.openxmlformats.org/officeDocument/2006/relationships/hyperlink" Target="https://en.wikipedia.org/wiki/Roseland_Theater" TargetMode="External"/><Relationship Id="rId15" Type="http://schemas.openxmlformats.org/officeDocument/2006/relationships/hyperlink" Target="https://en.wikipedia.org/wiki/Killing_of_Brian_Deneke" TargetMode="External"/><Relationship Id="rId16" Type="http://schemas.openxmlformats.org/officeDocument/2006/relationships/hyperlink" Target="https://en.wikipedia.org/wiki/Daniel_Shersty" TargetMode="External"/><Relationship Id="rId17" Type="http://schemas.openxmlformats.org/officeDocument/2006/relationships/hyperlink" Target="https://americansongwriter.com/4-infamous-concert-tragedies-that-tell-a-cautionary-tale/?nb=1" TargetMode="External"/><Relationship Id="rId18" Type="http://schemas.openxmlformats.org/officeDocument/2006/relationships/hyperlink" Target="https://en.wikipedia.org/wiki/The_Station_nightclub_fire" TargetMode="External"/><Relationship Id="rId19" Type="http://schemas.openxmlformats.org/officeDocument/2006/relationships/hyperlink" Target="https://americansongwriter.com/5-cautionary-tales-of-rock-concerts-that-ended-in-tragedy" TargetMode="External"/><Relationship Id="rId20" Type="http://schemas.openxmlformats.org/officeDocument/2006/relationships/table" Target="../tables/table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3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8"/>
    <col collapsed="false" customWidth="true" hidden="false" outlineLevel="0" max="2" min="2" style="0" width="16"/>
    <col collapsed="false" customWidth="true" hidden="false" outlineLevel="0" max="3" min="3" style="0" width="18"/>
  </cols>
  <sheetData>
    <row r="1" customFormat="false" ht="17.3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row>
    <row r="5" customFormat="false" ht="15" hidden="false" customHeight="false" outlineLevel="0" collapsed="false">
      <c r="A5" s="4"/>
      <c r="B5" s="4" t="s">
        <v>3</v>
      </c>
      <c r="C5" s="4" t="s">
        <v>4</v>
      </c>
    </row>
    <row r="6" customFormat="false" ht="15" hidden="false" customHeight="false" outlineLevel="0" collapsed="false">
      <c r="A6" s="5" t="s">
        <v>5</v>
      </c>
      <c r="B6" s="5" t="n">
        <f aca="false">COUNTIFS(Victims!$B$2:$B$72,"Hip-hop/Rap")</f>
        <v>56</v>
      </c>
      <c r="C6" s="5" t="n">
        <f aca="false">COUNTIFS(Victims!$B$2:$B$72,"Rock/Punk/Metal")</f>
        <v>15</v>
      </c>
    </row>
    <row r="7" customFormat="false" ht="15" hidden="false" customHeight="false" outlineLevel="0" collapsed="false">
      <c r="A7" s="5" t="s">
        <v>6</v>
      </c>
      <c r="B7" s="5" t="n">
        <f aca="false">COUNTIFS(Victims!$B$2:$B$72,"Hip-hop/Rap",Victims!$H$2:$H$72,"Convicted")</f>
        <v>9</v>
      </c>
      <c r="C7" s="5" t="n">
        <f aca="false">COUNTIFS(Victims!$B$2:$B$72,"Rock/Punk/Metal",Victims!$H$2:$H$72,"Convicted")</f>
        <v>9</v>
      </c>
    </row>
    <row r="8" customFormat="false" ht="15" hidden="false" customHeight="false" outlineLevel="0" collapsed="false">
      <c r="A8" s="5" t="s">
        <v>7</v>
      </c>
      <c r="B8" s="5" t="n">
        <f aca="false">COUNTIFS(Victims!$B$2:$B$72,"Hip-hop/Rap",Victims!$H$2:$H$72,"Pending")</f>
        <v>4</v>
      </c>
      <c r="C8" s="5" t="n">
        <f aca="false">COUNTIFS(Victims!$B$2:$B$72,"Rock/Punk/Metal",Victims!$H$2:$H$72,"Pending")</f>
        <v>1</v>
      </c>
    </row>
    <row r="9" customFormat="false" ht="15" hidden="false" customHeight="false" outlineLevel="0" collapsed="false">
      <c r="A9" s="5" t="s">
        <v>8</v>
      </c>
      <c r="B9" s="5" t="n">
        <f aca="false">COUNTIFS(Victims!$B$2:$B$72,"Hip-hop/Rap",Victims!$H$2:$H$72,"Unsolved")</f>
        <v>6</v>
      </c>
      <c r="C9" s="5" t="n">
        <f aca="false">COUNTIFS(Victims!$B$2:$B$72,"Rock/Punk/Metal",Victims!$H$2:$H$72,"Unsolved")</f>
        <v>3</v>
      </c>
    </row>
    <row r="10" customFormat="false" ht="15" hidden="false" customHeight="false" outlineLevel="0" collapsed="false">
      <c r="A10" s="5" t="s">
        <v>9</v>
      </c>
      <c r="B10" s="5" t="n">
        <f aca="false">COUNTIFS(Victims!$B$2:$B$72,"Hip-hop/Rap",Victims!$H$2:$H$72,"No charges")</f>
        <v>0</v>
      </c>
      <c r="C10" s="5" t="n">
        <f aca="false">COUNTIFS(Victims!$B$2:$B$72,"Rock/Punk/Metal",Victims!$H$2:$H$72,"No charges")</f>
        <v>1</v>
      </c>
    </row>
    <row r="11" customFormat="false" ht="15" hidden="false" customHeight="false" outlineLevel="0" collapsed="false">
      <c r="A11" s="5" t="s">
        <v>10</v>
      </c>
      <c r="B11" s="5" t="n">
        <f aca="false">COUNTIFS(Victims!$B$2:$B$72,"Hip-hop/Rap",Victims!$H$2:$H$72,"Disputed")</f>
        <v>0</v>
      </c>
      <c r="C11" s="5" t="n">
        <f aca="false">COUNTIFS(Victims!$B$2:$B$72,"Rock/Punk/Metal",Victims!$H$2:$H$72,"Disputed")</f>
        <v>1</v>
      </c>
    </row>
    <row r="12" customFormat="false" ht="15" hidden="false" customHeight="false" outlineLevel="0" collapsed="false">
      <c r="A12" s="5" t="s">
        <v>11</v>
      </c>
      <c r="B12" s="5" t="n">
        <f aca="false">COUNTIFS(Victims!$B$2:$B$72,"Hip-hop/Rap",Victims!$H$2:$H$72,"Not confirmed")</f>
        <v>37</v>
      </c>
      <c r="C12" s="5" t="n">
        <f aca="false">COUNTIFS(Victims!$B$2:$B$72,"Rock/Punk/Metal",Victims!$H$2:$H$72,"Not confirmed")</f>
        <v>0</v>
      </c>
    </row>
    <row r="14" customFormat="false" ht="15" hidden="false" customHeight="false" outlineLevel="0" collapsed="false">
      <c r="A14" s="3" t="s">
        <v>12</v>
      </c>
    </row>
    <row r="15" customFormat="false" ht="15" hidden="false" customHeight="false" outlineLevel="0" collapsed="false">
      <c r="A15" s="4"/>
      <c r="B15" s="4" t="s">
        <v>3</v>
      </c>
      <c r="C15" s="4" t="s">
        <v>4</v>
      </c>
    </row>
    <row r="16" customFormat="false" ht="15" hidden="false" customHeight="false" outlineLevel="0" collapsed="false">
      <c r="A16" s="5" t="s">
        <v>13</v>
      </c>
      <c r="B16" s="5" t="n">
        <f aca="false">COUNTIFS(Perpetrators!$B$2:$B$38,"Hip-hop/Rap")</f>
        <v>28</v>
      </c>
      <c r="C16" s="5" t="n">
        <f aca="false">COUNTIFS(Perpetrators!$B$2:$B$38,"Rock/Punk/Metal")</f>
        <v>9</v>
      </c>
    </row>
    <row r="17" customFormat="false" ht="15" hidden="false" customHeight="false" outlineLevel="0" collapsed="false">
      <c r="A17" s="5" t="s">
        <v>14</v>
      </c>
      <c r="B17" s="5" t="n">
        <f aca="false">COUNTIFS(Perpetrators!$B$2:$B$38,"Hip-hop/Rap",Perpetrators!$I$2:$I$38,"Convicted",Perpetrators!$H$2:$H$38,"Fatal")</f>
        <v>15</v>
      </c>
      <c r="C17" s="5" t="n">
        <f aca="false">COUNTIFS(Perpetrators!$B$2:$B$38,"Rock/Punk/Metal",Perpetrators!$I$2:$I$38,"Convicted",Perpetrators!$H$2:$H$38,"Fatal")</f>
        <v>5</v>
      </c>
    </row>
    <row r="18" customFormat="false" ht="15" hidden="false" customHeight="false" outlineLevel="0" collapsed="false">
      <c r="A18" s="5" t="s">
        <v>15</v>
      </c>
      <c r="B18" s="5" t="n">
        <f aca="false">COUNTIFS(Perpetrators!$B$2:$B$38,"Hip-hop/Rap",Perpetrators!$I$2:$I$38,"Convicted",Perpetrators!$H$2:$H$38,"Non-fatal")</f>
        <v>6</v>
      </c>
      <c r="C18" s="5" t="n">
        <f aca="false">COUNTIFS(Perpetrators!$B$2:$B$38,"Rock/Punk/Metal",Perpetrators!$I$2:$I$38,"Convicted",Perpetrators!$H$2:$H$38,"Non-fatal")</f>
        <v>2</v>
      </c>
    </row>
    <row r="19" customFormat="false" ht="15" hidden="false" customHeight="false" outlineLevel="0" collapsed="false">
      <c r="A19" s="5" t="s">
        <v>7</v>
      </c>
      <c r="B19" s="5" t="n">
        <f aca="false">COUNTIFS(Perpetrators!$B$2:$B$38,"Hip-hop/Rap",Perpetrators!$I$2:$I$38,"Pending")</f>
        <v>3</v>
      </c>
      <c r="C19" s="5" t="n">
        <f aca="false">COUNTIFS(Perpetrators!$B$2:$B$38,"Rock/Punk/Metal",Perpetrators!$I$2:$I$38,"Pending")</f>
        <v>1</v>
      </c>
    </row>
    <row r="20" customFormat="false" ht="15" hidden="false" customHeight="false" outlineLevel="0" collapsed="false">
      <c r="A20" s="5" t="s">
        <v>16</v>
      </c>
      <c r="B20" s="5" t="n">
        <f aca="false">COUNTIFS(Perpetrators!$B$2:$B$38,"Hip-hop/Rap",Perpetrators!$I$2:$I$38,"Not convicted")</f>
        <v>4</v>
      </c>
      <c r="C20" s="5" t="n">
        <f aca="false">COUNTIFS(Perpetrators!$B$2:$B$38,"Rock/Punk/Metal",Perpetrators!$I$2:$I$38,"Not convicted")</f>
        <v>1</v>
      </c>
    </row>
    <row r="22" customFormat="false" ht="15" hidden="false" customHeight="false" outlineLevel="0" collapsed="false">
      <c r="A22" s="3" t="s">
        <v>17</v>
      </c>
    </row>
    <row r="23" customFormat="false" ht="15" hidden="false" customHeight="false" outlineLevel="0" collapsed="false">
      <c r="A23" s="4"/>
      <c r="B23" s="4" t="s">
        <v>3</v>
      </c>
      <c r="C23" s="4" t="s">
        <v>4</v>
      </c>
    </row>
    <row r="24" customFormat="false" ht="15" hidden="false" customHeight="false" outlineLevel="0" collapsed="false">
      <c r="A24" s="5" t="s">
        <v>18</v>
      </c>
      <c r="B24" s="5" t="n">
        <f aca="false">COUNTIFS('Scene Violence'!$B$2:$B$20,"Hip-hop/Rap")</f>
        <v>10</v>
      </c>
      <c r="C24" s="5" t="n">
        <f aca="false">COUNTIFS('Scene Violence'!$B$2:$B$20,"Rock/Punk/Metal")</f>
        <v>9</v>
      </c>
    </row>
    <row r="25" customFormat="false" ht="15" hidden="false" customHeight="false" outlineLevel="0" collapsed="false">
      <c r="A25" s="5" t="s">
        <v>19</v>
      </c>
      <c r="B25" s="5" t="n">
        <f aca="false">SUMIFS('Scene Violence'!$H$2:$H$20,'Scene Violence'!$B$2:$B$20,"Hip-hop/Rap")</f>
        <v>11</v>
      </c>
      <c r="C25" s="5" t="n">
        <f aca="false">SUMIFS('Scene Violence'!$H$2:$H$20,'Scene Violence'!$B$2:$B$20,"Rock/Punk/Metal")</f>
        <v>109</v>
      </c>
    </row>
    <row r="26" customFormat="false" ht="15" hidden="false" customHeight="false" outlineLevel="0" collapsed="false">
      <c r="A26" s="5" t="s">
        <v>20</v>
      </c>
      <c r="B26" s="5" t="n">
        <f aca="false">COUNTIFS('Scene Violence'!$B$2:$B$20,"Hip-hop/Rap",'Scene Violence'!$J$2:$J$20,"Convicted")</f>
        <v>2</v>
      </c>
      <c r="C26" s="5" t="n">
        <f aca="false">COUNTIFS('Scene Violence'!$B$2:$B$20,"Rock/Punk/Metal",'Scene Violence'!$J$2:$J$20,"Convicted")</f>
        <v>5</v>
      </c>
    </row>
    <row r="28" customFormat="false" ht="15" hidden="false" customHeight="false" outlineLevel="0" collapsed="false">
      <c r="A28" s="3" t="s">
        <v>21</v>
      </c>
    </row>
    <row r="29" customFormat="false" ht="15" hidden="false" customHeight="false" outlineLevel="0" collapsed="false">
      <c r="A29" s="6" t="s">
        <v>22</v>
      </c>
    </row>
    <row r="30" customFormat="false" ht="15" hidden="false" customHeight="false" outlineLevel="0" collapsed="false">
      <c r="A30" s="6" t="s">
        <v>23</v>
      </c>
    </row>
    <row r="31" customFormat="false" ht="15" hidden="false" customHeight="false" outlineLevel="0" collapsed="false">
      <c r="A31" s="6" t="s">
        <v>24</v>
      </c>
    </row>
    <row r="32" customFormat="false" ht="15" hidden="false" customHeight="false" outlineLevel="0" collapsed="false">
      <c r="A32" s="6" t="s">
        <v>25</v>
      </c>
    </row>
    <row r="33" customFormat="false" ht="15" hidden="false" customHeight="false" outlineLevel="0" collapsed="false">
      <c r="A33" s="6" t="s">
        <v>26</v>
      </c>
    </row>
    <row r="34" customFormat="false" ht="15" hidden="false" customHeight="false" outlineLevel="0" collapsed="false">
      <c r="A34" s="6" t="s">
        <v>27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3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22"/>
    <col collapsed="false" customWidth="true" hidden="false" outlineLevel="0" max="3" min="3" style="0" width="40"/>
    <col collapsed="false" customWidth="true" hidden="false" outlineLevel="0" max="4" min="4" style="0" width="44"/>
    <col collapsed="false" customWidth="true" hidden="false" outlineLevel="0" max="5" min="5" style="0" width="40"/>
    <col collapsed="false" customWidth="true" hidden="false" outlineLevel="0" max="7" min="6" style="0" width="12"/>
  </cols>
  <sheetData>
    <row r="1" customFormat="false" ht="17.35" hidden="false" customHeight="false" outlineLevel="0" collapsed="false">
      <c r="A1" s="1" t="s">
        <v>28</v>
      </c>
    </row>
    <row r="2" customFormat="false" ht="15" hidden="false" customHeight="false" outlineLevel="0" collapsed="false">
      <c r="A2" s="2" t="s">
        <v>29</v>
      </c>
    </row>
    <row r="4" customFormat="false" ht="26.85" hidden="false" customHeight="false" outlineLevel="0" collapsed="false">
      <c r="A4" s="7" t="s">
        <v>30</v>
      </c>
      <c r="B4" s="7" t="s">
        <v>31</v>
      </c>
      <c r="C4" s="7" t="s">
        <v>32</v>
      </c>
      <c r="D4" s="7" t="s">
        <v>33</v>
      </c>
      <c r="E4" s="7" t="s">
        <v>34</v>
      </c>
      <c r="F4" s="7" t="s">
        <v>35</v>
      </c>
      <c r="G4" s="7" t="s">
        <v>36</v>
      </c>
    </row>
    <row r="5" customFormat="false" ht="15" hidden="false" customHeight="false" outlineLevel="0" collapsed="false">
      <c r="A5" s="5" t="s">
        <v>37</v>
      </c>
      <c r="B5" s="5" t="n">
        <f aca="false">COUNTIFS(Victims!$B$2:$B$72,"Hip-hop/Rap",Victims!$J$2:$J$72,"Gang rivalry, street or club conflict, retaliation")</f>
        <v>9</v>
      </c>
      <c r="C5" s="5" t="n">
        <f aca="false">COUNTIFS(Perpetrators!$B$2:$B$38,"Hip-hop/Rap",Perpetrators!$K$2:$K$38,"Gang rivalry, street or club conflict, retaliation")</f>
        <v>7</v>
      </c>
      <c r="D5" s="5" t="n">
        <f aca="false">COUNTIFS(Victims!$B$2:$B$72,"Rock/Punk/Metal",Victims!$J$2:$J$72,"Gang rivalry, street or club conflict, retaliation")</f>
        <v>0</v>
      </c>
      <c r="E5" s="5" t="n">
        <f aca="false">COUNTIFS(Perpetrators!$B$2:$B$38,"Rock/Punk/Metal",Perpetrators!$K$2:$K$38,"Gang rivalry, street or club conflict, retaliation")</f>
        <v>0</v>
      </c>
      <c r="F5" s="5" t="n">
        <f aca="false">B5+C5</f>
        <v>16</v>
      </c>
      <c r="G5" s="5" t="n">
        <f aca="false">D5+E5</f>
        <v>0</v>
      </c>
    </row>
    <row r="6" customFormat="false" ht="15" hidden="false" customHeight="false" outlineLevel="0" collapsed="false">
      <c r="A6" s="5" t="s">
        <v>38</v>
      </c>
      <c r="B6" s="5" t="n">
        <f aca="false">COUNTIFS(Victims!$B$2:$B$72,"Hip-hop/Rap",Victims!$J$2:$J$72,"Robbery, money or random predatory crime")</f>
        <v>3</v>
      </c>
      <c r="C6" s="5" t="n">
        <f aca="false">COUNTIFS(Perpetrators!$B$2:$B$38,"Hip-hop/Rap",Perpetrators!$K$2:$K$38,"Robbery, money or random predatory crime")</f>
        <v>3</v>
      </c>
      <c r="D6" s="5" t="n">
        <f aca="false">COUNTIFS(Victims!$B$2:$B$72,"Rock/Punk/Metal",Victims!$J$2:$J$72,"Robbery, money or random predatory crime")</f>
        <v>3</v>
      </c>
      <c r="E6" s="5" t="n">
        <f aca="false">COUNTIFS(Perpetrators!$B$2:$B$38,"Rock/Punk/Metal",Perpetrators!$K$2:$K$38,"Robbery, money or random predatory crime")</f>
        <v>0</v>
      </c>
      <c r="F6" s="5" t="n">
        <f aca="false">B6+C6</f>
        <v>6</v>
      </c>
      <c r="G6" s="5" t="n">
        <f aca="false">D6+E6</f>
        <v>3</v>
      </c>
    </row>
    <row r="7" customFormat="false" ht="15" hidden="false" customHeight="false" outlineLevel="0" collapsed="false">
      <c r="A7" s="5" t="s">
        <v>39</v>
      </c>
      <c r="B7" s="5" t="n">
        <f aca="false">COUNTIFS(Victims!$B$2:$B$72,"Hip-hop/Rap",Victims!$J$2:$J$72,"Personal or business dispute")</f>
        <v>4</v>
      </c>
      <c r="C7" s="5" t="n">
        <f aca="false">COUNTIFS(Perpetrators!$B$2:$B$38,"Hip-hop/Rap",Perpetrators!$K$2:$K$38,"Personal or business dispute")</f>
        <v>1</v>
      </c>
      <c r="D7" s="5" t="n">
        <f aca="false">COUNTIFS(Victims!$B$2:$B$72,"Rock/Punk/Metal",Victims!$J$2:$J$72,"Personal or business dispute")</f>
        <v>1</v>
      </c>
      <c r="E7" s="5" t="n">
        <f aca="false">COUNTIFS(Perpetrators!$B$2:$B$38,"Rock/Punk/Metal",Perpetrators!$K$2:$K$38,"Personal or business dispute")</f>
        <v>1</v>
      </c>
      <c r="F7" s="5" t="n">
        <f aca="false">B7+C7</f>
        <v>5</v>
      </c>
      <c r="G7" s="5" t="n">
        <f aca="false">D7+E7</f>
        <v>2</v>
      </c>
    </row>
    <row r="8" customFormat="false" ht="15" hidden="false" customHeight="false" outlineLevel="0" collapsed="false">
      <c r="A8" s="5" t="s">
        <v>40</v>
      </c>
      <c r="B8" s="5" t="n">
        <f aca="false">COUNTIFS(Victims!$B$2:$B$72,"Hip-hop/Rap",Victims!$J$2:$J$72,"Domestic, partner or family violence")</f>
        <v>0</v>
      </c>
      <c r="C8" s="5" t="n">
        <f aca="false">COUNTIFS(Perpetrators!$B$2:$B$38,"Hip-hop/Rap",Perpetrators!$K$2:$K$38,"Domestic, partner or family violence")</f>
        <v>3</v>
      </c>
      <c r="D8" s="5" t="n">
        <f aca="false">COUNTIFS(Victims!$B$2:$B$72,"Rock/Punk/Metal",Victims!$J$2:$J$72,"Domestic, partner or family violence")</f>
        <v>2</v>
      </c>
      <c r="E8" s="5" t="n">
        <f aca="false">COUNTIFS(Perpetrators!$B$2:$B$38,"Rock/Punk/Metal",Perpetrators!$K$2:$K$38,"Domestic, partner or family violence")</f>
        <v>6</v>
      </c>
      <c r="F8" s="5" t="n">
        <f aca="false">B8+C8</f>
        <v>3</v>
      </c>
      <c r="G8" s="5" t="n">
        <f aca="false">D8+E8</f>
        <v>8</v>
      </c>
    </row>
    <row r="9" customFormat="false" ht="15" hidden="false" customHeight="false" outlineLevel="0" collapsed="false">
      <c r="A9" s="5" t="s">
        <v>41</v>
      </c>
      <c r="B9" s="5" t="n">
        <f aca="false">COUNTIFS(Victims!$B$2:$B$72,"Hip-hop/Rap",Victims!$J$2:$J$72,"Obsessed fan")</f>
        <v>0</v>
      </c>
      <c r="C9" s="5" t="n">
        <f aca="false">COUNTIFS(Perpetrators!$B$2:$B$38,"Hip-hop/Rap",Perpetrators!$K$2:$K$38,"Obsessed fan")</f>
        <v>0</v>
      </c>
      <c r="D9" s="5" t="n">
        <f aca="false">COUNTIFS(Victims!$B$2:$B$72,"Rock/Punk/Metal",Victims!$J$2:$J$72,"Obsessed fan")</f>
        <v>2</v>
      </c>
      <c r="E9" s="5" t="n">
        <f aca="false">COUNTIFS(Perpetrators!$B$2:$B$38,"Rock/Punk/Metal",Perpetrators!$K$2:$K$38,"Obsessed fan")</f>
        <v>0</v>
      </c>
      <c r="F9" s="5" t="n">
        <f aca="false">B9+C9</f>
        <v>0</v>
      </c>
      <c r="G9" s="5" t="n">
        <f aca="false">D9+E9</f>
        <v>2</v>
      </c>
    </row>
    <row r="10" customFormat="false" ht="15" hidden="false" customHeight="false" outlineLevel="0" collapsed="false">
      <c r="A10" s="5" t="s">
        <v>42</v>
      </c>
      <c r="B10" s="5" t="n">
        <f aca="false">COUNTIFS(Victims!$B$2:$B$72,"Hip-hop/Rap",Victims!$J$2:$J$72,"Hate or subculture clash")</f>
        <v>0</v>
      </c>
      <c r="C10" s="5" t="n">
        <f aca="false">COUNTIFS(Perpetrators!$B$2:$B$38,"Hip-hop/Rap",Perpetrators!$K$2:$K$38,"Hate or subculture clash")</f>
        <v>0</v>
      </c>
      <c r="D10" s="5" t="n">
        <f aca="false">COUNTIFS(Victims!$B$2:$B$72,"Rock/Punk/Metal",Victims!$J$2:$J$72,"Hate or subculture clash")</f>
        <v>2</v>
      </c>
      <c r="E10" s="5" t="n">
        <f aca="false">COUNTIFS(Perpetrators!$B$2:$B$38,"Rock/Punk/Metal",Perpetrators!$K$2:$K$38,"Hate or subculture clash")</f>
        <v>0</v>
      </c>
      <c r="F10" s="5" t="n">
        <f aca="false">B10+C10</f>
        <v>0</v>
      </c>
      <c r="G10" s="5" t="n">
        <f aca="false">D10+E10</f>
        <v>2</v>
      </c>
    </row>
    <row r="11" customFormat="false" ht="15" hidden="false" customHeight="false" outlineLevel="0" collapsed="false">
      <c r="A11" s="5" t="s">
        <v>43</v>
      </c>
      <c r="B11" s="5" t="n">
        <f aca="false">COUNTIFS(Victims!$B$2:$B$72,"Hip-hop/Rap",Victims!$J$2:$J$72,"Cult or ideology")</f>
        <v>0</v>
      </c>
      <c r="C11" s="5" t="n">
        <f aca="false">COUNTIFS(Perpetrators!$B$2:$B$38,"Hip-hop/Rap",Perpetrators!$K$2:$K$38,"Cult or ideology")</f>
        <v>0</v>
      </c>
      <c r="D11" s="5" t="n">
        <f aca="false">COUNTIFS(Victims!$B$2:$B$72,"Rock/Punk/Metal",Victims!$J$2:$J$72,"Cult or ideology")</f>
        <v>0</v>
      </c>
      <c r="E11" s="5" t="n">
        <f aca="false">COUNTIFS(Perpetrators!$B$2:$B$38,"Rock/Punk/Metal",Perpetrators!$K$2:$K$38,"Cult or ideology")</f>
        <v>1</v>
      </c>
      <c r="F11" s="5" t="n">
        <f aca="false">B11+C11</f>
        <v>0</v>
      </c>
      <c r="G11" s="5" t="n">
        <f aca="false">D11+E11</f>
        <v>1</v>
      </c>
    </row>
    <row r="12" customFormat="false" ht="15" hidden="false" customHeight="false" outlineLevel="0" collapsed="false">
      <c r="A12" s="5" t="s">
        <v>44</v>
      </c>
      <c r="B12" s="5" t="n">
        <f aca="false">COUNTIFS(Victims!$B$2:$B$72,"Hip-hop/Rap",Victims!$J$2:$J$72,"Impaired driving or negligence")</f>
        <v>0</v>
      </c>
      <c r="C12" s="5" t="n">
        <f aca="false">COUNTIFS(Perpetrators!$B$2:$B$38,"Hip-hop/Rap",Perpetrators!$K$2:$K$38,"Impaired driving or negligence")</f>
        <v>0</v>
      </c>
      <c r="D12" s="5" t="n">
        <f aca="false">COUNTIFS(Victims!$B$2:$B$72,"Rock/Punk/Metal",Victims!$J$2:$J$72,"Impaired driving or negligence")</f>
        <v>0</v>
      </c>
      <c r="E12" s="5" t="n">
        <f aca="false">COUNTIFS(Perpetrators!$B$2:$B$38,"Rock/Punk/Metal",Perpetrators!$K$2:$K$38,"Impaired driving or negligence")</f>
        <v>1</v>
      </c>
      <c r="F12" s="5" t="n">
        <f aca="false">B12+C12</f>
        <v>0</v>
      </c>
      <c r="G12" s="5" t="n">
        <f aca="false">D12+E12</f>
        <v>1</v>
      </c>
    </row>
    <row r="13" customFormat="false" ht="15" hidden="false" customHeight="false" outlineLevel="0" collapsed="false">
      <c r="A13" s="5" t="s">
        <v>45</v>
      </c>
      <c r="B13" s="5" t="n">
        <f aca="false">COUNTIFS(Victims!$B$2:$B$72,"Hip-hop/Rap",Victims!$J$2:$J$72,"Sexual assault")</f>
        <v>0</v>
      </c>
      <c r="C13" s="5" t="n">
        <f aca="false">COUNTIFS(Perpetrators!$B$2:$B$38,"Hip-hop/Rap",Perpetrators!$K$2:$K$38,"Sexual assault")</f>
        <v>1</v>
      </c>
      <c r="D13" s="5" t="n">
        <f aca="false">COUNTIFS(Victims!$B$2:$B$72,"Rock/Punk/Metal",Victims!$J$2:$J$72,"Sexual assault")</f>
        <v>0</v>
      </c>
      <c r="E13" s="5" t="n">
        <f aca="false">COUNTIFS(Perpetrators!$B$2:$B$38,"Rock/Punk/Metal",Perpetrators!$K$2:$K$38,"Sexual assault")</f>
        <v>0</v>
      </c>
      <c r="F13" s="5" t="n">
        <f aca="false">B13+C13</f>
        <v>1</v>
      </c>
      <c r="G13" s="5" t="n">
        <f aca="false">D13+E13</f>
        <v>0</v>
      </c>
    </row>
    <row r="14" customFormat="false" ht="15" hidden="false" customHeight="false" outlineLevel="0" collapsed="false">
      <c r="A14" s="5" t="s">
        <v>46</v>
      </c>
      <c r="B14" s="5" t="n">
        <f aca="false">COUNTIFS(Victims!$B$2:$B$72,"Hip-hop/Rap",Victims!$J$2:$J$72,"Alleged feud, unproven")</f>
        <v>0</v>
      </c>
      <c r="C14" s="5" t="n">
        <f aca="false">COUNTIFS(Perpetrators!$B$2:$B$38,"Hip-hop/Rap",Perpetrators!$K$2:$K$38,"Alleged feud, unproven")</f>
        <v>2</v>
      </c>
      <c r="D14" s="5" t="n">
        <f aca="false">COUNTIFS(Victims!$B$2:$B$72,"Rock/Punk/Metal",Victims!$J$2:$J$72,"Alleged feud, unproven")</f>
        <v>0</v>
      </c>
      <c r="E14" s="5" t="n">
        <f aca="false">COUNTIFS(Perpetrators!$B$2:$B$38,"Rock/Punk/Metal",Perpetrators!$K$2:$K$38,"Alleged feud, unproven")</f>
        <v>0</v>
      </c>
      <c r="F14" s="5" t="n">
        <f aca="false">B14+C14</f>
        <v>2</v>
      </c>
      <c r="G14" s="5" t="n">
        <f aca="false">D14+E14</f>
        <v>0</v>
      </c>
    </row>
    <row r="15" customFormat="false" ht="15" hidden="false" customHeight="false" outlineLevel="0" collapsed="false">
      <c r="A15" s="5" t="s">
        <v>47</v>
      </c>
      <c r="B15" s="5" t="n">
        <f aca="false">COUNTIFS(Victims!$B$2:$B$72,"Hip-hop/Rap",Victims!$J$2:$J$72,"Not reported")</f>
        <v>40</v>
      </c>
      <c r="C15" s="5" t="n">
        <f aca="false">COUNTIFS(Perpetrators!$B$2:$B$38,"Hip-hop/Rap",Perpetrators!$K$2:$K$38,"Not reported")</f>
        <v>11</v>
      </c>
      <c r="D15" s="5" t="n">
        <f aca="false">COUNTIFS(Victims!$B$2:$B$72,"Rock/Punk/Metal",Victims!$J$2:$J$72,"Not reported")</f>
        <v>5</v>
      </c>
      <c r="E15" s="5" t="n">
        <f aca="false">COUNTIFS(Perpetrators!$B$2:$B$38,"Rock/Punk/Metal",Perpetrators!$K$2:$K$38,"Not reported")</f>
        <v>0</v>
      </c>
      <c r="F15" s="5" t="n">
        <f aca="false">B15+C15</f>
        <v>51</v>
      </c>
      <c r="G15" s="5" t="n">
        <f aca="false">D15+E15</f>
        <v>5</v>
      </c>
    </row>
    <row r="16" customFormat="false" ht="15" hidden="false" customHeight="false" outlineLevel="0" collapsed="false">
      <c r="A16" s="3" t="s">
        <v>5</v>
      </c>
      <c r="B16" s="3" t="n">
        <f aca="false">SUM(B5:B15)</f>
        <v>56</v>
      </c>
      <c r="C16" s="3" t="n">
        <f aca="false">SUM(C5:C15)</f>
        <v>28</v>
      </c>
      <c r="D16" s="3" t="n">
        <f aca="false">SUM(D5:D15)</f>
        <v>15</v>
      </c>
      <c r="E16" s="3" t="n">
        <f aca="false">SUM(E5:E15)</f>
        <v>9</v>
      </c>
      <c r="F16" s="3" t="n">
        <f aca="false">SUM(F5:F15)</f>
        <v>84</v>
      </c>
      <c r="G16" s="3" t="n">
        <f aca="false">SUM(G5:G15)</f>
        <v>24</v>
      </c>
    </row>
    <row r="17" customFormat="false" ht="15" hidden="false" customHeight="false" outlineLevel="0" collapsed="false">
      <c r="A17" s="8" t="s">
        <v>48</v>
      </c>
      <c r="B17" s="9" t="n">
        <f aca="false">IF(B16=0,0,1-B15/B16)</f>
        <v>0.285714285714286</v>
      </c>
      <c r="C17" s="9" t="n">
        <f aca="false">IF(C16=0,0,1-C15/C16)</f>
        <v>0.607142857142857</v>
      </c>
      <c r="D17" s="9" t="n">
        <f aca="false">IF(D16=0,0,1-D15/D16)</f>
        <v>0.666666666666667</v>
      </c>
      <c r="E17" s="9" t="n">
        <f aca="false">IF(E16=0,0,1-E15/E16)</f>
        <v>1</v>
      </c>
      <c r="F17" s="9" t="n">
        <f aca="false">IF(F16=0,0,1-F15/F16)</f>
        <v>0.392857142857143</v>
      </c>
      <c r="G17" s="9" t="n">
        <f aca="false">IF(G16=0,0,1-G15/G16)</f>
        <v>0.791666666666667</v>
      </c>
    </row>
    <row r="18" customFormat="false" ht="45" hidden="false" customHeight="true" outlineLevel="0" collapsed="false">
      <c r="A18" s="10" t="str">
        <f aca="false">"Motive known: "&amp;TEXT(B17,"0%")&amp;" of hip-hop killings vs. "&amp;TEXT(D17,"0%")&amp;" of rock killings. The gap mostly reflects how many hip-hop killings are unsolved. Confirming the outcomes marked Not confirmed on the Victims tab would raise the hip-hop motive count the most."</f>
        <v>Motive known: 29% of hip-hop killings vs. 67% of rock killings. The gap mostly reflects how many hip-hop killings are unsolved. Confirming the outcomes marked Not confirmed on the Victims tab would raise the hip-hop motive count the most.</v>
      </c>
      <c r="B18" s="10"/>
      <c r="C18" s="10"/>
      <c r="D18" s="10"/>
      <c r="E18" s="10"/>
      <c r="F18" s="10"/>
      <c r="G18" s="10"/>
    </row>
    <row r="20" customFormat="false" ht="15" hidden="false" customHeight="false" outlineLevel="0" collapsed="false">
      <c r="A20" s="3" t="s">
        <v>49</v>
      </c>
    </row>
    <row r="21" customFormat="false" ht="15" hidden="false" customHeight="false" outlineLevel="0" collapsed="false">
      <c r="A21" s="4" t="s">
        <v>50</v>
      </c>
      <c r="B21" s="4" t="s">
        <v>30</v>
      </c>
      <c r="C21" s="4" t="s">
        <v>51</v>
      </c>
      <c r="D21" s="4" t="s">
        <v>52</v>
      </c>
      <c r="E21" s="4" t="s">
        <v>53</v>
      </c>
    </row>
    <row r="22" customFormat="false" ht="23.85" hidden="false" customHeight="false" outlineLevel="0" collapsed="false">
      <c r="A22" s="11" t="s">
        <v>3</v>
      </c>
      <c r="B22" s="11" t="s">
        <v>54</v>
      </c>
      <c r="C22" s="11" t="s">
        <v>55</v>
      </c>
      <c r="D22" s="11" t="s">
        <v>56</v>
      </c>
      <c r="E22" s="12" t="s">
        <v>57</v>
      </c>
    </row>
    <row r="23" customFormat="false" ht="23.85" hidden="false" customHeight="false" outlineLevel="0" collapsed="false">
      <c r="A23" s="11" t="s">
        <v>3</v>
      </c>
      <c r="B23" s="11" t="s">
        <v>58</v>
      </c>
      <c r="C23" s="11" t="s">
        <v>59</v>
      </c>
      <c r="D23" s="11" t="s">
        <v>60</v>
      </c>
      <c r="E23" s="12" t="s">
        <v>61</v>
      </c>
    </row>
    <row r="24" customFormat="false" ht="23.85" hidden="false" customHeight="false" outlineLevel="0" collapsed="false">
      <c r="A24" s="11" t="s">
        <v>3</v>
      </c>
      <c r="B24" s="11" t="s">
        <v>62</v>
      </c>
      <c r="C24" s="11" t="s">
        <v>63</v>
      </c>
      <c r="D24" s="11" t="s">
        <v>64</v>
      </c>
      <c r="E24" s="12" t="s">
        <v>65</v>
      </c>
    </row>
    <row r="25" customFormat="false" ht="23.85" hidden="false" customHeight="false" outlineLevel="0" collapsed="false">
      <c r="A25" s="11" t="s">
        <v>3</v>
      </c>
      <c r="B25" s="11" t="s">
        <v>66</v>
      </c>
      <c r="C25" s="11" t="s">
        <v>67</v>
      </c>
      <c r="D25" s="11" t="s">
        <v>68</v>
      </c>
      <c r="E25" s="12" t="s">
        <v>69</v>
      </c>
    </row>
    <row r="26" customFormat="false" ht="23.85" hidden="false" customHeight="false" outlineLevel="0" collapsed="false">
      <c r="A26" s="11" t="s">
        <v>3</v>
      </c>
      <c r="B26" s="11" t="s">
        <v>70</v>
      </c>
      <c r="C26" s="11" t="s">
        <v>71</v>
      </c>
      <c r="D26" s="11" t="s">
        <v>72</v>
      </c>
      <c r="E26" s="12" t="s">
        <v>73</v>
      </c>
    </row>
    <row r="27" customFormat="false" ht="23.85" hidden="false" customHeight="false" outlineLevel="0" collapsed="false">
      <c r="A27" s="11" t="s">
        <v>3</v>
      </c>
      <c r="B27" s="11" t="s">
        <v>74</v>
      </c>
      <c r="C27" s="11" t="s">
        <v>75</v>
      </c>
      <c r="D27" s="11" t="s">
        <v>76</v>
      </c>
      <c r="E27" s="12" t="s">
        <v>77</v>
      </c>
    </row>
    <row r="28" customFormat="false" ht="23.85" hidden="false" customHeight="false" outlineLevel="0" collapsed="false">
      <c r="A28" s="11" t="s">
        <v>4</v>
      </c>
      <c r="B28" s="11" t="s">
        <v>78</v>
      </c>
      <c r="C28" s="11" t="s">
        <v>79</v>
      </c>
      <c r="D28" s="11" t="s">
        <v>80</v>
      </c>
      <c r="E28" s="12" t="s">
        <v>81</v>
      </c>
    </row>
    <row r="29" customFormat="false" ht="23.85" hidden="false" customHeight="false" outlineLevel="0" collapsed="false">
      <c r="A29" s="11" t="s">
        <v>4</v>
      </c>
      <c r="B29" s="11" t="s">
        <v>82</v>
      </c>
      <c r="C29" s="11" t="s">
        <v>83</v>
      </c>
      <c r="D29" s="11" t="s">
        <v>84</v>
      </c>
      <c r="E29" s="12" t="s">
        <v>85</v>
      </c>
    </row>
    <row r="30" customFormat="false" ht="23.85" hidden="false" customHeight="false" outlineLevel="0" collapsed="false">
      <c r="A30" s="11" t="s">
        <v>4</v>
      </c>
      <c r="B30" s="11" t="s">
        <v>86</v>
      </c>
      <c r="C30" s="11" t="s">
        <v>87</v>
      </c>
      <c r="D30" s="11" t="s">
        <v>88</v>
      </c>
      <c r="E30" s="12" t="s">
        <v>89</v>
      </c>
    </row>
    <row r="31" customFormat="false" ht="23.85" hidden="false" customHeight="false" outlineLevel="0" collapsed="false">
      <c r="A31" s="11" t="s">
        <v>4</v>
      </c>
      <c r="B31" s="11" t="s">
        <v>90</v>
      </c>
      <c r="C31" s="11" t="s">
        <v>91</v>
      </c>
      <c r="D31" s="11" t="s">
        <v>92</v>
      </c>
      <c r="E31" s="12" t="s">
        <v>93</v>
      </c>
    </row>
    <row r="32" customFormat="false" ht="23.85" hidden="false" customHeight="false" outlineLevel="0" collapsed="false">
      <c r="A32" s="11" t="s">
        <v>4</v>
      </c>
      <c r="B32" s="11" t="s">
        <v>94</v>
      </c>
      <c r="C32" s="11" t="s">
        <v>95</v>
      </c>
      <c r="D32" s="11" t="s">
        <v>96</v>
      </c>
      <c r="E32" s="12" t="s">
        <v>97</v>
      </c>
    </row>
    <row r="34" customFormat="false" ht="15" hidden="false" customHeight="false" outlineLevel="0" collapsed="false">
      <c r="A34" s="3" t="s">
        <v>98</v>
      </c>
    </row>
    <row r="35" customFormat="false" ht="15" hidden="false" customHeight="false" outlineLevel="0" collapsed="false">
      <c r="A35" s="13" t="s">
        <v>99</v>
      </c>
    </row>
  </sheetData>
  <mergeCells count="1">
    <mergeCell ref="A18:G18"/>
  </mergeCells>
  <hyperlinks>
    <hyperlink ref="E22" r:id="rId1" display="https://en.wikipedia.org/wiki/Murder_of_Julio_Foolio"/>
    <hyperlink ref="E23" r:id="rId2" display="https://jamn957.iheart.com/content/2024-08-15-est-gees-artist-est-lu-mike-reportedly-shot-killed"/>
    <hyperlink ref="E24" r:id="rId3" display="https://www.cbsnews.com/losangeles/news/pnb-rock-murder-killing-freddie-lee-trone-guilty-conviction-sentence"/>
    <hyperlink ref="E25" r:id="rId4" display="https://www.iheart.com/content/2026-02-12-takeoffs-murder-suspect-gets-trial-date/"/>
    <hyperlink ref="E26" r:id="rId5" display="https://www.xxlmag.com/current-status-murdered-rappers-cases/"/>
    <hyperlink ref="E27" r:id="rId6" display="https://en.wikipedia.org/wiki/List_of_murdered_hip-hop_musicians"/>
    <hyperlink ref="E28" r:id="rId7" display="https://thedarksideofhumanity.com/musicians-who-killed-true-crime/"/>
    <hyperlink ref="E29" r:id="rId8" display="https://www.watchmojo.com/articles/10-musicians-who-turned-to-murder"/>
    <hyperlink ref="E30" r:id="rId9" display="https://en.wikipedia.org/wiki/2006_Richmond_spree_murders"/>
    <hyperlink ref="E31" r:id="rId10" display="https://www.splcenter.org/?p=41833"/>
    <hyperlink ref="E32" r:id="rId11" display="https://en.wikipedia.org/wiki/The_Station_nightclub_fire"/>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3" min="2" style="0" width="50"/>
    <col collapsed="false" customWidth="true" hidden="false" outlineLevel="0" max="5" min="4" style="0" width="40"/>
  </cols>
  <sheetData>
    <row r="1" customFormat="false" ht="17.35" hidden="false" customHeight="false" outlineLevel="0" collapsed="false">
      <c r="A1" s="1" t="s">
        <v>100</v>
      </c>
    </row>
    <row r="2" customFormat="false" ht="15" hidden="false" customHeight="false" outlineLevel="0" collapsed="false">
      <c r="A2" s="2" t="s">
        <v>101</v>
      </c>
    </row>
    <row r="4" customFormat="false" ht="15" hidden="false" customHeight="false" outlineLevel="0" collapsed="false">
      <c r="A4" s="14" t="s">
        <v>102</v>
      </c>
    </row>
    <row r="6" customFormat="false" ht="15" hidden="false" customHeight="false" outlineLevel="0" collapsed="false">
      <c r="A6" s="7" t="s">
        <v>103</v>
      </c>
      <c r="B6" s="7" t="s">
        <v>3</v>
      </c>
      <c r="C6" s="7" t="s">
        <v>4</v>
      </c>
      <c r="D6" s="7" t="s">
        <v>52</v>
      </c>
      <c r="E6" s="7" t="s">
        <v>53</v>
      </c>
    </row>
    <row r="7" customFormat="false" ht="35.05" hidden="false" customHeight="false" outlineLevel="0" collapsed="false">
      <c r="A7" s="15" t="s">
        <v>104</v>
      </c>
      <c r="B7" s="11" t="s">
        <v>105</v>
      </c>
      <c r="C7" s="11" t="s">
        <v>106</v>
      </c>
      <c r="D7" s="11"/>
      <c r="E7" s="11"/>
    </row>
    <row r="8" customFormat="false" ht="35.05" hidden="false" customHeight="false" outlineLevel="0" collapsed="false">
      <c r="A8" s="15" t="s">
        <v>107</v>
      </c>
      <c r="B8" s="11" t="s">
        <v>108</v>
      </c>
      <c r="C8" s="11" t="s">
        <v>109</v>
      </c>
      <c r="D8" s="11" t="s">
        <v>110</v>
      </c>
      <c r="E8" s="12" t="s">
        <v>111</v>
      </c>
    </row>
    <row r="9" customFormat="false" ht="35.05" hidden="false" customHeight="false" outlineLevel="0" collapsed="false">
      <c r="A9" s="15" t="s">
        <v>112</v>
      </c>
      <c r="B9" s="11" t="s">
        <v>113</v>
      </c>
      <c r="C9" s="11" t="s">
        <v>114</v>
      </c>
      <c r="D9" s="11" t="s">
        <v>115</v>
      </c>
      <c r="E9" s="12" t="s">
        <v>61</v>
      </c>
    </row>
    <row r="10" customFormat="false" ht="23.85" hidden="false" customHeight="false" outlineLevel="0" collapsed="false">
      <c r="A10" s="15" t="s">
        <v>116</v>
      </c>
      <c r="B10" s="11" t="s">
        <v>117</v>
      </c>
      <c r="C10" s="11" t="s">
        <v>118</v>
      </c>
      <c r="D10" s="11" t="s">
        <v>119</v>
      </c>
      <c r="E10" s="12" t="s">
        <v>65</v>
      </c>
    </row>
    <row r="11" customFormat="false" ht="35.05" hidden="false" customHeight="false" outlineLevel="0" collapsed="false">
      <c r="A11" s="15" t="s">
        <v>120</v>
      </c>
      <c r="B11" s="11" t="s">
        <v>121</v>
      </c>
      <c r="C11" s="11" t="s">
        <v>122</v>
      </c>
      <c r="D11" s="11" t="s">
        <v>123</v>
      </c>
      <c r="E11" s="12" t="s">
        <v>81</v>
      </c>
    </row>
    <row r="12" customFormat="false" ht="35.05" hidden="false" customHeight="false" outlineLevel="0" collapsed="false">
      <c r="A12" s="15" t="s">
        <v>124</v>
      </c>
      <c r="B12" s="11"/>
      <c r="C12" s="11" t="s">
        <v>125</v>
      </c>
      <c r="D12" s="11" t="s">
        <v>126</v>
      </c>
      <c r="E12" s="12" t="s">
        <v>127</v>
      </c>
    </row>
    <row r="13" customFormat="false" ht="46.25" hidden="false" customHeight="false" outlineLevel="0" collapsed="false">
      <c r="A13" s="15" t="s">
        <v>128</v>
      </c>
      <c r="B13" s="11" t="s">
        <v>129</v>
      </c>
      <c r="C13" s="11" t="s">
        <v>130</v>
      </c>
      <c r="D13" s="11" t="s">
        <v>131</v>
      </c>
      <c r="E13" s="12" t="s">
        <v>132</v>
      </c>
    </row>
    <row r="14" customFormat="false" ht="23.85" hidden="false" customHeight="false" outlineLevel="0" collapsed="false">
      <c r="A14" s="15" t="s">
        <v>133</v>
      </c>
      <c r="B14" s="11" t="s">
        <v>134</v>
      </c>
      <c r="C14" s="11" t="s">
        <v>135</v>
      </c>
      <c r="D14" s="11" t="s">
        <v>136</v>
      </c>
      <c r="E14" s="12" t="s">
        <v>73</v>
      </c>
    </row>
    <row r="16" customFormat="false" ht="15" hidden="false" customHeight="false" outlineLevel="0" collapsed="false">
      <c r="A16" s="3" t="s">
        <v>137</v>
      </c>
    </row>
    <row r="17" customFormat="false" ht="30" hidden="false" customHeight="true" outlineLevel="0" collapsed="false">
      <c r="A17" s="16" t="s">
        <v>138</v>
      </c>
      <c r="B17" s="16"/>
      <c r="C17" s="16"/>
      <c r="D17" s="16"/>
      <c r="E17" s="16"/>
    </row>
    <row r="18" customFormat="false" ht="30" hidden="false" customHeight="true" outlineLevel="0" collapsed="false">
      <c r="A18" s="16" t="s">
        <v>139</v>
      </c>
      <c r="B18" s="16"/>
      <c r="C18" s="16"/>
      <c r="D18" s="16"/>
      <c r="E18" s="16"/>
    </row>
    <row r="19" customFormat="false" ht="30" hidden="false" customHeight="true" outlineLevel="0" collapsed="false">
      <c r="A19" s="16" t="s">
        <v>140</v>
      </c>
      <c r="B19" s="16"/>
      <c r="C19" s="16"/>
      <c r="D19" s="16"/>
      <c r="E19" s="16"/>
    </row>
    <row r="20" customFormat="false" ht="30" hidden="false" customHeight="true" outlineLevel="0" collapsed="false">
      <c r="A20" s="16" t="s">
        <v>141</v>
      </c>
      <c r="B20" s="16"/>
      <c r="C20" s="16"/>
      <c r="D20" s="16"/>
      <c r="E20" s="16"/>
    </row>
    <row r="22" customFormat="false" ht="15" hidden="false" customHeight="false" outlineLevel="0" collapsed="false">
      <c r="A22" s="17" t="s">
        <v>142</v>
      </c>
    </row>
  </sheetData>
  <mergeCells count="4">
    <mergeCell ref="A17:E17"/>
    <mergeCell ref="A18:E18"/>
    <mergeCell ref="A19:E19"/>
    <mergeCell ref="A20:E20"/>
  </mergeCells>
  <hyperlinks>
    <hyperlink ref="E8" r:id="rId1" display="https://www.complex.com/music/a/markelibert/est-gees-manager-shot-and-killed"/>
    <hyperlink ref="E9" r:id="rId2" display="https://jamn957.iheart.com/content/2024-08-15-est-gees-artist-est-lu-mike-reportedly-shot-killed"/>
    <hyperlink ref="E10" r:id="rId3" display="https://www.cbsnews.com/losangeles/news/pnb-rock-murder-killing-freddie-lee-trone-guilty-conviction-sentence"/>
    <hyperlink ref="E11" r:id="rId4" display="https://thedarksideofhumanity.com/musicians-who-killed-true-crime/"/>
    <hyperlink ref="E12" r:id="rId5" display="https://en.wikipedia.org/wiki/Killing_of_Brian_Deneke"/>
    <hyperlink ref="E13" r:id="rId6" display="https://en.wikipedia.org/wiki/Use_of_lyrics_as_evidence"/>
    <hyperlink ref="E14" r:id="rId7" display="https://www.xxlmag.com/current-status-murdered-rappers-cases/"/>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4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16"/>
    <col collapsed="false" customWidth="true" hidden="false" outlineLevel="0" max="3" min="3" style="0" width="14"/>
    <col collapsed="false" customWidth="true" hidden="false" outlineLevel="0" max="4" min="4" style="0" width="18"/>
    <col collapsed="false" customWidth="true" hidden="false" outlineLevel="0" max="5" min="5" style="0" width="14"/>
  </cols>
  <sheetData>
    <row r="1" customFormat="false" ht="17.35" hidden="false" customHeight="false" outlineLevel="0" collapsed="false">
      <c r="A1" s="1" t="s">
        <v>143</v>
      </c>
    </row>
    <row r="2" customFormat="false" ht="15" hidden="false" customHeight="false" outlineLevel="0" collapsed="false">
      <c r="A2" s="2" t="s">
        <v>144</v>
      </c>
    </row>
    <row r="4" customFormat="false" ht="15" hidden="false" customHeight="false" outlineLevel="0" collapsed="false">
      <c r="A4" s="3" t="s">
        <v>145</v>
      </c>
    </row>
    <row r="5" customFormat="false" ht="15" hidden="false" customHeight="false" outlineLevel="0" collapsed="false">
      <c r="A5" s="18" t="s">
        <v>146</v>
      </c>
      <c r="B5" s="18" t="s">
        <v>3</v>
      </c>
      <c r="C5" s="18" t="s">
        <v>147</v>
      </c>
      <c r="D5" s="18" t="s">
        <v>4</v>
      </c>
      <c r="E5" s="18" t="s">
        <v>148</v>
      </c>
    </row>
    <row r="6" customFormat="false" ht="15" hidden="false" customHeight="false" outlineLevel="0" collapsed="false">
      <c r="A6" s="13" t="s">
        <v>149</v>
      </c>
      <c r="B6" s="13" t="n">
        <f aca="false">COUNTIFS(Victims!$B$2:$B$72,"Hip-hop/Rap",Victims!$L$2:$L$72,"Under 18")</f>
        <v>1</v>
      </c>
      <c r="C6" s="19" t="n">
        <f aca="false">IF($B$13=0,0,B6/$B$13)</f>
        <v>0.0178571428571429</v>
      </c>
      <c r="D6" s="13" t="n">
        <f aca="false">COUNTIFS(Victims!$B$2:$B$72,"Rock/Punk/Metal",Victims!$L$2:$L$72,"Under 18")</f>
        <v>0</v>
      </c>
      <c r="E6" s="19" t="n">
        <f aca="false">IF($D$13=0,0,D6/$D$13)</f>
        <v>0</v>
      </c>
    </row>
    <row r="7" customFormat="false" ht="15" hidden="false" customHeight="false" outlineLevel="0" collapsed="false">
      <c r="A7" s="13" t="s">
        <v>150</v>
      </c>
      <c r="B7" s="13" t="n">
        <f aca="false">COUNTIFS(Victims!$B$2:$B$72,"Hip-hop/Rap",Victims!$L$2:$L$72,"18-24")</f>
        <v>20</v>
      </c>
      <c r="C7" s="19" t="n">
        <f aca="false">IF($B$13=0,0,B7/$B$13)</f>
        <v>0.357142857142857</v>
      </c>
      <c r="D7" s="13" t="n">
        <f aca="false">COUNTIFS(Victims!$B$2:$B$72,"Rock/Punk/Metal",Victims!$L$2:$L$72,"18-24")</f>
        <v>4</v>
      </c>
      <c r="E7" s="19" t="n">
        <f aca="false">IF($D$13=0,0,D7/$D$13)</f>
        <v>0.266666666666667</v>
      </c>
    </row>
    <row r="8" customFormat="false" ht="15" hidden="false" customHeight="false" outlineLevel="0" collapsed="false">
      <c r="A8" s="13" t="s">
        <v>151</v>
      </c>
      <c r="B8" s="13" t="n">
        <f aca="false">COUNTIFS(Victims!$B$2:$B$72,"Hip-hop/Rap",Victims!$L$2:$L$72,"25-34")</f>
        <v>25</v>
      </c>
      <c r="C8" s="19" t="n">
        <f aca="false">IF($B$13=0,0,B8/$B$13)</f>
        <v>0.446428571428571</v>
      </c>
      <c r="D8" s="13" t="n">
        <f aca="false">COUNTIFS(Victims!$B$2:$B$72,"Rock/Punk/Metal",Victims!$L$2:$L$72,"25-34")</f>
        <v>1</v>
      </c>
      <c r="E8" s="19" t="n">
        <f aca="false">IF($D$13=0,0,D8/$D$13)</f>
        <v>0.0666666666666667</v>
      </c>
    </row>
    <row r="9" customFormat="false" ht="15" hidden="false" customHeight="false" outlineLevel="0" collapsed="false">
      <c r="A9" s="13" t="s">
        <v>152</v>
      </c>
      <c r="B9" s="13" t="n">
        <f aca="false">COUNTIFS(Victims!$B$2:$B$72,"Hip-hop/Rap",Victims!$L$2:$L$72,"35-44")</f>
        <v>8</v>
      </c>
      <c r="C9" s="19" t="n">
        <f aca="false">IF($B$13=0,0,B9/$B$13)</f>
        <v>0.142857142857143</v>
      </c>
      <c r="D9" s="13" t="n">
        <f aca="false">COUNTIFS(Victims!$B$2:$B$72,"Rock/Punk/Metal",Victims!$L$2:$L$72,"35-44")</f>
        <v>7</v>
      </c>
      <c r="E9" s="19" t="n">
        <f aca="false">IF($D$13=0,0,D9/$D$13)</f>
        <v>0.466666666666667</v>
      </c>
    </row>
    <row r="10" customFormat="false" ht="15" hidden="false" customHeight="false" outlineLevel="0" collapsed="false">
      <c r="A10" s="13" t="s">
        <v>153</v>
      </c>
      <c r="B10" s="13" t="n">
        <f aca="false">COUNTIFS(Victims!$B$2:$B$72,"Hip-hop/Rap",Victims!$L$2:$L$72,"45-54")</f>
        <v>0</v>
      </c>
      <c r="C10" s="19" t="n">
        <f aca="false">IF($B$13=0,0,B10/$B$13)</f>
        <v>0</v>
      </c>
      <c r="D10" s="13" t="n">
        <f aca="false">COUNTIFS(Victims!$B$2:$B$72,"Rock/Punk/Metal",Victims!$L$2:$L$72,"45-54")</f>
        <v>3</v>
      </c>
      <c r="E10" s="19" t="n">
        <f aca="false">IF($D$13=0,0,D10/$D$13)</f>
        <v>0.2</v>
      </c>
    </row>
    <row r="11" customFormat="false" ht="15" hidden="false" customHeight="false" outlineLevel="0" collapsed="false">
      <c r="A11" s="13" t="s">
        <v>154</v>
      </c>
      <c r="B11" s="13" t="n">
        <f aca="false">COUNTIFS(Victims!$B$2:$B$72,"Hip-hop/Rap",Victims!$L$2:$L$72,"55+")</f>
        <v>0</v>
      </c>
      <c r="C11" s="19" t="n">
        <f aca="false">IF($B$13=0,0,B11/$B$13)</f>
        <v>0</v>
      </c>
      <c r="D11" s="13" t="n">
        <f aca="false">COUNTIFS(Victims!$B$2:$B$72,"Rock/Punk/Metal",Victims!$L$2:$L$72,"55+")</f>
        <v>0</v>
      </c>
      <c r="E11" s="19" t="n">
        <f aca="false">IF($D$13=0,0,D11/$D$13)</f>
        <v>0</v>
      </c>
    </row>
    <row r="12" customFormat="false" ht="15" hidden="false" customHeight="false" outlineLevel="0" collapsed="false">
      <c r="A12" s="13" t="s">
        <v>155</v>
      </c>
      <c r="B12" s="13" t="n">
        <f aca="false">COUNTIFS(Victims!$B$2:$B$72,"Hip-hop/Rap",Victims!$L$2:$L$72,"Unknown")</f>
        <v>2</v>
      </c>
      <c r="C12" s="19" t="n">
        <f aca="false">IF($B$13=0,0,B12/$B$13)</f>
        <v>0.0357142857142857</v>
      </c>
      <c r="D12" s="13" t="n">
        <f aca="false">COUNTIFS(Victims!$B$2:$B$72,"Rock/Punk/Metal",Victims!$L$2:$L$72,"Unknown")</f>
        <v>0</v>
      </c>
      <c r="E12" s="19" t="n">
        <f aca="false">IF($D$13=0,0,D12/$D$13)</f>
        <v>0</v>
      </c>
    </row>
    <row r="13" customFormat="false" ht="15" hidden="false" customHeight="false" outlineLevel="0" collapsed="false">
      <c r="A13" s="3" t="s">
        <v>5</v>
      </c>
      <c r="B13" s="3" t="n">
        <f aca="false">SUM(B6:B12)</f>
        <v>56</v>
      </c>
      <c r="C13" s="13"/>
      <c r="D13" s="3" t="n">
        <f aca="false">SUM(D6:D12)</f>
        <v>15</v>
      </c>
      <c r="E13" s="13"/>
    </row>
    <row r="14" customFormat="false" ht="15" hidden="false" customHeight="false" outlineLevel="0" collapsed="false">
      <c r="A14" s="13" t="s">
        <v>156</v>
      </c>
      <c r="B14" s="20" t="n">
        <f aca="false">IFERROR(AVERAGEIFS(Victims!$K$2:$K$72,Victims!$B$2:$B$72,"Hip-hop/Rap"),"")</f>
        <v>27.0740740740741</v>
      </c>
      <c r="C14" s="13"/>
      <c r="D14" s="20" t="n">
        <f aca="false">IFERROR(AVERAGEIFS(Victims!$K$2:$K$72,Victims!$B$2:$B$72,"Rock/Punk/Metal"),"")</f>
        <v>36.0666666666667</v>
      </c>
      <c r="E14" s="13"/>
    </row>
    <row r="15" customFormat="false" ht="15" hidden="false" customHeight="false" outlineLevel="0" collapsed="false">
      <c r="A15" s="13" t="s">
        <v>157</v>
      </c>
      <c r="B15" s="20" t="n">
        <f aca="false">IFERROR(_xlfn.MINIFS(Victims!$K$2:$K$72,Victims!$B$2:$B$72,"Hip-hop/Rap"),"")</f>
        <v>14</v>
      </c>
      <c r="C15" s="13"/>
      <c r="D15" s="20" t="n">
        <f aca="false">IFERROR(_xlfn.MINIFS(Victims!$K$2:$K$72,Victims!$B$2:$B$72,"Rock/Punk/Metal"),"")</f>
        <v>19</v>
      </c>
      <c r="E15" s="13"/>
    </row>
    <row r="16" customFormat="false" ht="15" hidden="false" customHeight="false" outlineLevel="0" collapsed="false">
      <c r="A16" s="13" t="s">
        <v>158</v>
      </c>
      <c r="B16" s="20" t="n">
        <f aca="false">IFERROR(_xlfn.MAXIFS(Victims!$K$2:$K$72,Victims!$B$2:$B$72,"Hip-hop/Rap"),"")</f>
        <v>44</v>
      </c>
      <c r="C16" s="13"/>
      <c r="D16" s="20" t="n">
        <f aca="false">IFERROR(_xlfn.MAXIFS(Victims!$K$2:$K$72,Victims!$B$2:$B$72,"Rock/Punk/Metal"),"")</f>
        <v>53</v>
      </c>
      <c r="E16" s="13"/>
    </row>
    <row r="18" customFormat="false" ht="15" hidden="false" customHeight="false" outlineLevel="0" collapsed="false">
      <c r="A18" s="3" t="s">
        <v>159</v>
      </c>
    </row>
    <row r="19" customFormat="false" ht="15" hidden="false" customHeight="false" outlineLevel="0" collapsed="false">
      <c r="A19" s="18" t="s">
        <v>146</v>
      </c>
      <c r="B19" s="18" t="s">
        <v>3</v>
      </c>
      <c r="C19" s="18" t="s">
        <v>147</v>
      </c>
      <c r="D19" s="18" t="s">
        <v>4</v>
      </c>
      <c r="E19" s="18" t="s">
        <v>148</v>
      </c>
    </row>
    <row r="20" customFormat="false" ht="15" hidden="false" customHeight="false" outlineLevel="0" collapsed="false">
      <c r="A20" s="13" t="s">
        <v>149</v>
      </c>
      <c r="B20" s="13" t="n">
        <f aca="false">COUNTIFS(Perpetrators!$B$2:$B$38,"Hip-hop/Rap",Perpetrators!$M$2:$M$38,"Under 18")</f>
        <v>3</v>
      </c>
      <c r="C20" s="19" t="n">
        <f aca="false">IF($B$27=0,0,B20/$B$27)</f>
        <v>0.107142857142857</v>
      </c>
      <c r="D20" s="13" t="n">
        <f aca="false">COUNTIFS(Perpetrators!$B$2:$B$38,"Rock/Punk/Metal",Perpetrators!$M$2:$M$38,"Under 18")</f>
        <v>0</v>
      </c>
      <c r="E20" s="19" t="n">
        <f aca="false">IF($D$27=0,0,D20/$D$27)</f>
        <v>0</v>
      </c>
    </row>
    <row r="21" customFormat="false" ht="15" hidden="false" customHeight="false" outlineLevel="0" collapsed="false">
      <c r="A21" s="13" t="s">
        <v>150</v>
      </c>
      <c r="B21" s="13" t="n">
        <f aca="false">COUNTIFS(Perpetrators!$B$2:$B$38,"Hip-hop/Rap",Perpetrators!$M$2:$M$38,"18-24")</f>
        <v>8</v>
      </c>
      <c r="C21" s="19" t="n">
        <f aca="false">IF($B$27=0,0,B21/$B$27)</f>
        <v>0.285714285714286</v>
      </c>
      <c r="D21" s="13" t="n">
        <f aca="false">COUNTIFS(Perpetrators!$B$2:$B$38,"Rock/Punk/Metal",Perpetrators!$M$2:$M$38,"18-24")</f>
        <v>3</v>
      </c>
      <c r="E21" s="19" t="n">
        <f aca="false">IF($D$27=0,0,D21/$D$27)</f>
        <v>0.333333333333333</v>
      </c>
    </row>
    <row r="22" customFormat="false" ht="15" hidden="false" customHeight="false" outlineLevel="0" collapsed="false">
      <c r="A22" s="13" t="s">
        <v>151</v>
      </c>
      <c r="B22" s="13" t="n">
        <f aca="false">COUNTIFS(Perpetrators!$B$2:$B$38,"Hip-hop/Rap",Perpetrators!$M$2:$M$38,"25-34")</f>
        <v>8</v>
      </c>
      <c r="C22" s="19" t="n">
        <f aca="false">IF($B$27=0,0,B22/$B$27)</f>
        <v>0.285714285714286</v>
      </c>
      <c r="D22" s="13" t="n">
        <f aca="false">COUNTIFS(Perpetrators!$B$2:$B$38,"Rock/Punk/Metal",Perpetrators!$M$2:$M$38,"25-34")</f>
        <v>2</v>
      </c>
      <c r="E22" s="19" t="n">
        <f aca="false">IF($D$27=0,0,D22/$D$27)</f>
        <v>0.222222222222222</v>
      </c>
    </row>
    <row r="23" customFormat="false" ht="15" hidden="false" customHeight="false" outlineLevel="0" collapsed="false">
      <c r="A23" s="13" t="s">
        <v>152</v>
      </c>
      <c r="B23" s="13" t="n">
        <f aca="false">COUNTIFS(Perpetrators!$B$2:$B$38,"Hip-hop/Rap",Perpetrators!$M$2:$M$38,"35-44")</f>
        <v>0</v>
      </c>
      <c r="C23" s="19" t="n">
        <f aca="false">IF($B$27=0,0,B23/$B$27)</f>
        <v>0</v>
      </c>
      <c r="D23" s="13" t="n">
        <f aca="false">COUNTIFS(Perpetrators!$B$2:$B$38,"Rock/Punk/Metal",Perpetrators!$M$2:$M$38,"35-44")</f>
        <v>2</v>
      </c>
      <c r="E23" s="19" t="n">
        <f aca="false">IF($D$27=0,0,D23/$D$27)</f>
        <v>0.222222222222222</v>
      </c>
    </row>
    <row r="24" customFormat="false" ht="15" hidden="false" customHeight="false" outlineLevel="0" collapsed="false">
      <c r="A24" s="13" t="s">
        <v>153</v>
      </c>
      <c r="B24" s="13" t="n">
        <f aca="false">COUNTIFS(Perpetrators!$B$2:$B$38,"Hip-hop/Rap",Perpetrators!$M$2:$M$38,"45-54")</f>
        <v>1</v>
      </c>
      <c r="C24" s="19" t="n">
        <f aca="false">IF($B$27=0,0,B24/$B$27)</f>
        <v>0.0357142857142857</v>
      </c>
      <c r="D24" s="13" t="n">
        <f aca="false">COUNTIFS(Perpetrators!$B$2:$B$38,"Rock/Punk/Metal",Perpetrators!$M$2:$M$38,"45-54")</f>
        <v>1</v>
      </c>
      <c r="E24" s="19" t="n">
        <f aca="false">IF($D$27=0,0,D24/$D$27)</f>
        <v>0.111111111111111</v>
      </c>
    </row>
    <row r="25" customFormat="false" ht="15" hidden="false" customHeight="false" outlineLevel="0" collapsed="false">
      <c r="A25" s="13" t="s">
        <v>154</v>
      </c>
      <c r="B25" s="13" t="n">
        <f aca="false">COUNTIFS(Perpetrators!$B$2:$B$38,"Hip-hop/Rap",Perpetrators!$M$2:$M$38,"55+")</f>
        <v>1</v>
      </c>
      <c r="C25" s="19" t="n">
        <f aca="false">IF($B$27=0,0,B25/$B$27)</f>
        <v>0.0357142857142857</v>
      </c>
      <c r="D25" s="13" t="n">
        <f aca="false">COUNTIFS(Perpetrators!$B$2:$B$38,"Rock/Punk/Metal",Perpetrators!$M$2:$M$38,"55+")</f>
        <v>1</v>
      </c>
      <c r="E25" s="19" t="n">
        <f aca="false">IF($D$27=0,0,D25/$D$27)</f>
        <v>0.111111111111111</v>
      </c>
    </row>
    <row r="26" customFormat="false" ht="15" hidden="false" customHeight="false" outlineLevel="0" collapsed="false">
      <c r="A26" s="13" t="s">
        <v>155</v>
      </c>
      <c r="B26" s="13" t="n">
        <f aca="false">COUNTIFS(Perpetrators!$B$2:$B$38,"Hip-hop/Rap",Perpetrators!$M$2:$M$38,"Unknown")</f>
        <v>7</v>
      </c>
      <c r="C26" s="19" t="n">
        <f aca="false">IF($B$27=0,0,B26/$B$27)</f>
        <v>0.25</v>
      </c>
      <c r="D26" s="13" t="n">
        <f aca="false">COUNTIFS(Perpetrators!$B$2:$B$38,"Rock/Punk/Metal",Perpetrators!$M$2:$M$38,"Unknown")</f>
        <v>0</v>
      </c>
      <c r="E26" s="19" t="n">
        <f aca="false">IF($D$27=0,0,D26/$D$27)</f>
        <v>0</v>
      </c>
    </row>
    <row r="27" customFormat="false" ht="15" hidden="false" customHeight="false" outlineLevel="0" collapsed="false">
      <c r="A27" s="3" t="s">
        <v>5</v>
      </c>
      <c r="B27" s="3" t="n">
        <f aca="false">SUM(B20:B26)</f>
        <v>28</v>
      </c>
      <c r="C27" s="13"/>
      <c r="D27" s="3" t="n">
        <f aca="false">SUM(D20:D26)</f>
        <v>9</v>
      </c>
      <c r="E27" s="13"/>
    </row>
    <row r="28" customFormat="false" ht="15" hidden="false" customHeight="false" outlineLevel="0" collapsed="false">
      <c r="A28" s="13" t="s">
        <v>156</v>
      </c>
      <c r="B28" s="20" t="n">
        <f aca="false">IFERROR(AVERAGEIFS(Perpetrators!$L$2:$L$38,Perpetrators!$B$2:$B$38,"Hip-hop/Rap"),"")</f>
        <v>25.6190476190476</v>
      </c>
      <c r="C28" s="13"/>
      <c r="D28" s="20" t="n">
        <f aca="false">IFERROR(AVERAGEIFS(Perpetrators!$L$2:$L$38,Perpetrators!$B$2:$B$38,"Rock/Punk/Metal"),"")</f>
        <v>35.4444444444444</v>
      </c>
      <c r="E28" s="13"/>
    </row>
    <row r="29" customFormat="false" ht="15" hidden="false" customHeight="false" outlineLevel="0" collapsed="false">
      <c r="A29" s="13" t="s">
        <v>157</v>
      </c>
      <c r="B29" s="20" t="n">
        <f aca="false">IFERROR(_xlfn.MINIFS(Perpetrators!$L$2:$L$38,Perpetrators!$B$2:$B$38,"Hip-hop/Rap"),"")</f>
        <v>16</v>
      </c>
      <c r="C29" s="13"/>
      <c r="D29" s="20" t="n">
        <f aca="false">IFERROR(_xlfn.MINIFS(Perpetrators!$L$2:$L$38,Perpetrators!$B$2:$B$38,"Rock/Punk/Metal"),"")</f>
        <v>21</v>
      </c>
      <c r="E29" s="13"/>
    </row>
    <row r="30" customFormat="false" ht="15" hidden="false" customHeight="false" outlineLevel="0" collapsed="false">
      <c r="A30" s="13" t="s">
        <v>158</v>
      </c>
      <c r="B30" s="20" t="n">
        <f aca="false">IFERROR(_xlfn.MAXIFS(Perpetrators!$L$2:$L$38,Perpetrators!$B$2:$B$38,"Hip-hop/Rap"),"")</f>
        <v>57</v>
      </c>
      <c r="C30" s="13"/>
      <c r="D30" s="20" t="n">
        <f aca="false">IFERROR(_xlfn.MAXIFS(Perpetrators!$L$2:$L$38,Perpetrators!$B$2:$B$38,"Rock/Punk/Metal"),"")</f>
        <v>63</v>
      </c>
      <c r="E30" s="13"/>
    </row>
    <row r="32" customFormat="false" ht="15" hidden="false" customHeight="false" outlineLevel="0" collapsed="false">
      <c r="A32" s="3" t="s">
        <v>160</v>
      </c>
    </row>
    <row r="33" customFormat="false" ht="15" hidden="false" customHeight="false" outlineLevel="0" collapsed="false">
      <c r="A33" s="18"/>
      <c r="B33" s="18" t="s">
        <v>3</v>
      </c>
      <c r="C33" s="18"/>
      <c r="D33" s="18" t="s">
        <v>4</v>
      </c>
      <c r="E33" s="18"/>
    </row>
    <row r="34" customFormat="false" ht="15" hidden="false" customHeight="false" outlineLevel="0" collapsed="false">
      <c r="A34" s="13" t="s">
        <v>161</v>
      </c>
      <c r="B34" s="21" t="n">
        <f aca="false">COUNTIFS(Victims!$B$2:$B$72,"Hip-hop/Rap",Victims!$M$2:$M$72,"&lt;&gt;")</f>
        <v>5</v>
      </c>
      <c r="D34" s="21" t="n">
        <f aca="false">COUNTIFS(Victims!$B$2:$B$72,"Rock/Punk/Metal",Victims!$M$2:$M$72,"&lt;&gt;")</f>
        <v>7</v>
      </c>
    </row>
    <row r="35" customFormat="false" ht="15" hidden="false" customHeight="false" outlineLevel="0" collapsed="false">
      <c r="A35" s="13" t="s">
        <v>162</v>
      </c>
      <c r="B35" s="20" t="n">
        <f aca="false">IFERROR(AVERAGEIFS(Victims!$M$2:$M$72,Victims!$B$2:$B$72,"Hip-hop/Rap"),"")</f>
        <v>25.4</v>
      </c>
      <c r="D35" s="20" t="n">
        <f aca="false">IFERROR(AVERAGEIFS(Victims!$M$2:$M$72,Victims!$B$2:$B$72,"Rock/Punk/Metal"),"")</f>
        <v>26</v>
      </c>
    </row>
    <row r="36" customFormat="false" ht="15" hidden="false" customHeight="false" outlineLevel="0" collapsed="false">
      <c r="A36" s="13" t="s">
        <v>157</v>
      </c>
      <c r="B36" s="20" t="n">
        <f aca="false">IFERROR(_xlfn.MINIFS(Victims!$M$2:$M$72,Victims!$B$2:$B$72,"Hip-hop/Rap"),"")</f>
        <v>15</v>
      </c>
      <c r="D36" s="20" t="n">
        <f aca="false">IFERROR(_xlfn.MINIFS(Victims!$M$2:$M$72,Victims!$B$2:$B$72,"Rock/Punk/Metal"),"")</f>
        <v>17</v>
      </c>
    </row>
    <row r="37" customFormat="false" ht="15" hidden="false" customHeight="false" outlineLevel="0" collapsed="false">
      <c r="A37" s="13" t="s">
        <v>158</v>
      </c>
      <c r="B37" s="20" t="n">
        <f aca="false">IFERROR(_xlfn.MAXIFS(Victims!$M$2:$M$72,Victims!$B$2:$B$72,"Hip-hop/Rap"),"")</f>
        <v>33</v>
      </c>
      <c r="D37" s="20" t="n">
        <f aca="false">IFERROR(_xlfn.MAXIFS(Victims!$M$2:$M$72,Victims!$B$2:$B$72,"Rock/Punk/Metal"),"")</f>
        <v>38</v>
      </c>
    </row>
    <row r="39" customFormat="false" ht="15" hidden="false" customHeight="false" outlineLevel="0" collapsed="false">
      <c r="A39" s="3" t="s">
        <v>163</v>
      </c>
    </row>
    <row r="40" customFormat="false" ht="30" hidden="false" customHeight="true" outlineLevel="0" collapsed="false">
      <c r="A40" s="16" t="s">
        <v>164</v>
      </c>
      <c r="B40" s="16"/>
      <c r="C40" s="16"/>
      <c r="D40" s="16"/>
      <c r="E40" s="16"/>
    </row>
    <row r="41" customFormat="false" ht="30" hidden="false" customHeight="true" outlineLevel="0" collapsed="false">
      <c r="A41" s="16" t="s">
        <v>165</v>
      </c>
      <c r="B41" s="16"/>
      <c r="C41" s="16"/>
      <c r="D41" s="16"/>
      <c r="E41" s="16"/>
    </row>
    <row r="42" customFormat="false" ht="30" hidden="false" customHeight="true" outlineLevel="0" collapsed="false">
      <c r="A42" s="16" t="s">
        <v>166</v>
      </c>
      <c r="B42" s="16"/>
      <c r="C42" s="16"/>
      <c r="D42" s="16"/>
      <c r="E42" s="16"/>
    </row>
    <row r="43" customFormat="false" ht="30" hidden="false" customHeight="true" outlineLevel="0" collapsed="false">
      <c r="A43" s="16" t="s">
        <v>167</v>
      </c>
      <c r="B43" s="16"/>
      <c r="C43" s="16"/>
      <c r="D43" s="16"/>
      <c r="E43" s="16"/>
    </row>
    <row r="44" customFormat="false" ht="30" hidden="false" customHeight="true" outlineLevel="0" collapsed="false">
      <c r="A44" s="16" t="s">
        <v>168</v>
      </c>
      <c r="B44" s="16"/>
      <c r="C44" s="16"/>
      <c r="D44" s="16"/>
      <c r="E44" s="16"/>
    </row>
    <row r="45" customFormat="false" ht="30" hidden="false" customHeight="true" outlineLevel="0" collapsed="false">
      <c r="A45" s="16" t="s">
        <v>169</v>
      </c>
      <c r="B45" s="16"/>
      <c r="C45" s="16"/>
      <c r="D45" s="16"/>
      <c r="E45" s="16"/>
    </row>
    <row r="46" customFormat="false" ht="30" hidden="false" customHeight="true" outlineLevel="0" collapsed="false">
      <c r="A46" s="16" t="s">
        <v>170</v>
      </c>
      <c r="B46" s="16"/>
      <c r="C46" s="16"/>
      <c r="D46" s="16"/>
      <c r="E46" s="16"/>
    </row>
  </sheetData>
  <mergeCells count="7">
    <mergeCell ref="A40:E40"/>
    <mergeCell ref="A41:E41"/>
    <mergeCell ref="A42:E42"/>
    <mergeCell ref="A43:E43"/>
    <mergeCell ref="A44:E44"/>
    <mergeCell ref="A45:E45"/>
    <mergeCell ref="A46:E4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5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1"/>
    <col collapsed="false" customWidth="true" hidden="false" outlineLevel="0" max="3" min="3" style="0" width="13"/>
    <col collapsed="false" customWidth="true" hidden="false" outlineLevel="0" max="5" min="4" style="0" width="11"/>
    <col collapsed="false" customWidth="true" hidden="false" outlineLevel="0" max="6" min="6" style="0" width="13"/>
    <col collapsed="false" customWidth="true" hidden="false" outlineLevel="0" max="7" min="7" style="0" width="11"/>
    <col collapsed="false" customWidth="true" hidden="false" outlineLevel="0" max="8" min="8" style="0" width="3"/>
    <col collapsed="false" customWidth="true" hidden="false" outlineLevel="0" max="9" min="9" style="0" width="8"/>
    <col collapsed="false" customWidth="true" hidden="false" outlineLevel="0" max="10" min="10" style="0" width="14"/>
  </cols>
  <sheetData>
    <row r="1" customFormat="false" ht="17.35" hidden="false" customHeight="false" outlineLevel="0" collapsed="false">
      <c r="A1" s="1" t="s">
        <v>171</v>
      </c>
    </row>
    <row r="2" customFormat="false" ht="15" hidden="false" customHeight="false" outlineLevel="0" collapsed="false">
      <c r="A2" s="2" t="s">
        <v>172</v>
      </c>
    </row>
    <row r="4" customFormat="false" ht="15" hidden="false" customHeight="false" outlineLevel="0" collapsed="false">
      <c r="A4" s="3" t="s">
        <v>173</v>
      </c>
      <c r="I4" s="4" t="s">
        <v>174</v>
      </c>
      <c r="J4" s="4" t="s">
        <v>175</v>
      </c>
    </row>
    <row r="5" customFormat="false" ht="26.85" hidden="false" customHeight="false" outlineLevel="0" collapsed="false">
      <c r="A5" s="18" t="s">
        <v>176</v>
      </c>
      <c r="B5" s="18" t="s">
        <v>31</v>
      </c>
      <c r="C5" s="18" t="s">
        <v>32</v>
      </c>
      <c r="D5" s="18" t="s">
        <v>177</v>
      </c>
      <c r="E5" s="18" t="s">
        <v>33</v>
      </c>
      <c r="F5" s="18" t="s">
        <v>34</v>
      </c>
      <c r="G5" s="18" t="s">
        <v>178</v>
      </c>
      <c r="I5" s="6" t="s">
        <v>179</v>
      </c>
      <c r="J5" s="6" t="s">
        <v>180</v>
      </c>
    </row>
    <row r="6" customFormat="false" ht="15" hidden="false" customHeight="false" outlineLevel="0" collapsed="false">
      <c r="A6" s="13" t="s">
        <v>181</v>
      </c>
      <c r="B6" s="13" t="n">
        <f aca="false">COUNTIFS(Victims!$B$2:$B$72,"Hip-hop/Rap",Victims!$Q$2:$Q$72,"Home/residence")</f>
        <v>2</v>
      </c>
      <c r="C6" s="13" t="n">
        <f aca="false">COUNTIFS(Perpetrators!$B$2:$B$38,"Hip-hop/Rap",Perpetrators!$P$2:$P$38,"Home/residence")</f>
        <v>2</v>
      </c>
      <c r="D6" s="13" t="n">
        <f aca="false">COUNTIFS('Scene Violence'!$B$2:$B$20,"Hip-hop/Rap",'Scene Violence'!$L$2:$L$20,"Home/residence")</f>
        <v>0</v>
      </c>
      <c r="E6" s="13" t="n">
        <f aca="false">COUNTIFS(Victims!$B$2:$B$72,"Rock/Punk/Metal",Victims!$Q$2:$Q$72,"Home/residence")</f>
        <v>5</v>
      </c>
      <c r="F6" s="13" t="n">
        <f aca="false">COUNTIFS(Perpetrators!$B$2:$B$38,"Rock/Punk/Metal",Perpetrators!$P$2:$P$38,"Home/residence")</f>
        <v>6</v>
      </c>
      <c r="G6" s="13" t="n">
        <f aca="false">COUNTIFS('Scene Violence'!$B$2:$B$20,"Rock/Punk/Metal",'Scene Violence'!$L$2:$L$20,"Home/residence")</f>
        <v>0</v>
      </c>
      <c r="I6" s="6" t="s">
        <v>182</v>
      </c>
      <c r="J6" s="6" t="s">
        <v>180</v>
      </c>
    </row>
    <row r="7" customFormat="false" ht="15" hidden="false" customHeight="false" outlineLevel="0" collapsed="false">
      <c r="A7" s="13" t="s">
        <v>183</v>
      </c>
      <c r="B7" s="13" t="n">
        <f aca="false">COUNTIFS(Victims!$B$2:$B$72,"Hip-hop/Rap",Victims!$Q$2:$Q$72,"Nightclub/bar")</f>
        <v>2</v>
      </c>
      <c r="C7" s="13" t="n">
        <f aca="false">COUNTIFS(Perpetrators!$B$2:$B$38,"Hip-hop/Rap",Perpetrators!$P$2:$P$38,"Nightclub/bar")</f>
        <v>4</v>
      </c>
      <c r="D7" s="13" t="n">
        <f aca="false">COUNTIFS('Scene Violence'!$B$2:$B$20,"Hip-hop/Rap",'Scene Violence'!$L$2:$L$20,"Nightclub/bar")</f>
        <v>2</v>
      </c>
      <c r="E7" s="13" t="n">
        <f aca="false">COUNTIFS(Victims!$B$2:$B$72,"Rock/Punk/Metal",Victims!$Q$2:$Q$72,"Nightclub/bar")</f>
        <v>2</v>
      </c>
      <c r="F7" s="13" t="n">
        <f aca="false">COUNTIFS(Perpetrators!$B$2:$B$38,"Rock/Punk/Metal",Perpetrators!$P$2:$P$38,"Nightclub/bar")</f>
        <v>0</v>
      </c>
      <c r="G7" s="13" t="n">
        <f aca="false">COUNTIFS('Scene Violence'!$B$2:$B$20,"Rock/Punk/Metal",'Scene Violence'!$L$2:$L$20,"Nightclub/bar")</f>
        <v>3</v>
      </c>
      <c r="I7" s="6" t="s">
        <v>184</v>
      </c>
      <c r="J7" s="6" t="s">
        <v>180</v>
      </c>
    </row>
    <row r="8" customFormat="false" ht="15" hidden="false" customHeight="false" outlineLevel="0" collapsed="false">
      <c r="A8" s="13" t="s">
        <v>185</v>
      </c>
      <c r="B8" s="13" t="n">
        <f aca="false">COUNTIFS(Victims!$B$2:$B$72,"Hip-hop/Rap",Victims!$Q$2:$Q$72,"Concert/festival venue")</f>
        <v>1</v>
      </c>
      <c r="C8" s="13" t="n">
        <f aca="false">COUNTIFS(Perpetrators!$B$2:$B$38,"Hip-hop/Rap",Perpetrators!$P$2:$P$38,"Concert/festival venue")</f>
        <v>0</v>
      </c>
      <c r="D8" s="13" t="n">
        <f aca="false">COUNTIFS('Scene Violence'!$B$2:$B$20,"Hip-hop/Rap",'Scene Violence'!$L$2:$L$20,"Concert/festival venue")</f>
        <v>4</v>
      </c>
      <c r="E8" s="13" t="n">
        <f aca="false">COUNTIFS(Victims!$B$2:$B$72,"Rock/Punk/Metal",Victims!$Q$2:$Q$72,"Concert/festival venue")</f>
        <v>0</v>
      </c>
      <c r="F8" s="13" t="n">
        <f aca="false">COUNTIFS(Perpetrators!$B$2:$B$38,"Rock/Punk/Metal",Perpetrators!$P$2:$P$38,"Concert/festival venue")</f>
        <v>0</v>
      </c>
      <c r="G8" s="13" t="n">
        <f aca="false">COUNTIFS('Scene Violence'!$B$2:$B$20,"Rock/Punk/Metal",'Scene Violence'!$L$2:$L$20,"Concert/festival venue")</f>
        <v>2</v>
      </c>
      <c r="I8" s="6" t="s">
        <v>186</v>
      </c>
      <c r="J8" s="6" t="s">
        <v>180</v>
      </c>
    </row>
    <row r="9" customFormat="false" ht="15" hidden="false" customHeight="false" outlineLevel="0" collapsed="false">
      <c r="A9" s="13" t="s">
        <v>187</v>
      </c>
      <c r="B9" s="13" t="n">
        <f aca="false">COUNTIFS(Victims!$B$2:$B$72,"Hip-hop/Rap",Victims!$Q$2:$Q$72,"Street/sidewalk")</f>
        <v>8</v>
      </c>
      <c r="C9" s="13" t="n">
        <f aca="false">COUNTIFS(Perpetrators!$B$2:$B$38,"Hip-hop/Rap",Perpetrators!$P$2:$P$38,"Street/sidewalk")</f>
        <v>5</v>
      </c>
      <c r="D9" s="13" t="n">
        <f aca="false">COUNTIFS('Scene Violence'!$B$2:$B$20,"Hip-hop/Rap",'Scene Violence'!$L$2:$L$20,"Street/sidewalk")</f>
        <v>0</v>
      </c>
      <c r="E9" s="13" t="n">
        <f aca="false">COUNTIFS(Victims!$B$2:$B$72,"Rock/Punk/Metal",Victims!$Q$2:$Q$72,"Street/sidewalk")</f>
        <v>1</v>
      </c>
      <c r="F9" s="13" t="n">
        <f aca="false">COUNTIFS(Perpetrators!$B$2:$B$38,"Rock/Punk/Metal",Perpetrators!$P$2:$P$38,"Street/sidewalk")</f>
        <v>0</v>
      </c>
      <c r="G9" s="13" t="n">
        <f aca="false">COUNTIFS('Scene Violence'!$B$2:$B$20,"Rock/Punk/Metal",'Scene Violence'!$L$2:$L$20,"Street/sidewalk")</f>
        <v>2</v>
      </c>
      <c r="I9" s="6" t="s">
        <v>188</v>
      </c>
      <c r="J9" s="6" t="s">
        <v>180</v>
      </c>
    </row>
    <row r="10" customFormat="false" ht="15" hidden="false" customHeight="false" outlineLevel="0" collapsed="false">
      <c r="A10" s="13" t="s">
        <v>189</v>
      </c>
      <c r="B10" s="13" t="n">
        <f aca="false">COUNTIFS(Victims!$B$2:$B$72,"Hip-hop/Rap",Victims!$Q$2:$Q$72,"Vehicle/roadway")</f>
        <v>7</v>
      </c>
      <c r="C10" s="13" t="n">
        <f aca="false">COUNTIFS(Perpetrators!$B$2:$B$38,"Hip-hop/Rap",Perpetrators!$P$2:$P$38,"Vehicle/roadway")</f>
        <v>3</v>
      </c>
      <c r="D10" s="13" t="n">
        <f aca="false">COUNTIFS('Scene Violence'!$B$2:$B$20,"Hip-hop/Rap",'Scene Violence'!$L$2:$L$20,"Vehicle/roadway")</f>
        <v>1</v>
      </c>
      <c r="E10" s="13" t="n">
        <f aca="false">COUNTIFS(Victims!$B$2:$B$72,"Rock/Punk/Metal",Victims!$Q$2:$Q$72,"Vehicle/roadway")</f>
        <v>1</v>
      </c>
      <c r="F10" s="13" t="n">
        <f aca="false">COUNTIFS(Perpetrators!$B$2:$B$38,"Rock/Punk/Metal",Perpetrators!$P$2:$P$38,"Vehicle/roadway")</f>
        <v>1</v>
      </c>
      <c r="G10" s="13" t="n">
        <f aca="false">COUNTIFS('Scene Violence'!$B$2:$B$20,"Rock/Punk/Metal",'Scene Violence'!$L$2:$L$20,"Vehicle/roadway")</f>
        <v>0</v>
      </c>
      <c r="I10" s="6" t="s">
        <v>190</v>
      </c>
      <c r="J10" s="6" t="s">
        <v>180</v>
      </c>
    </row>
    <row r="11" customFormat="false" ht="15" hidden="false" customHeight="false" outlineLevel="0" collapsed="false">
      <c r="A11" s="13" t="s">
        <v>191</v>
      </c>
      <c r="B11" s="13" t="n">
        <f aca="false">COUNTIFS(Victims!$B$2:$B$72,"Hip-hop/Rap",Victims!$Q$2:$Q$72,"Parking lot")</f>
        <v>4</v>
      </c>
      <c r="C11" s="13" t="n">
        <f aca="false">COUNTIFS(Perpetrators!$B$2:$B$38,"Hip-hop/Rap",Perpetrators!$P$2:$P$38,"Parking lot")</f>
        <v>1</v>
      </c>
      <c r="D11" s="13" t="n">
        <f aca="false">COUNTIFS('Scene Violence'!$B$2:$B$20,"Hip-hop/Rap",'Scene Violence'!$L$2:$L$20,"Parking lot")</f>
        <v>1</v>
      </c>
      <c r="E11" s="13" t="n">
        <f aca="false">COUNTIFS(Victims!$B$2:$B$72,"Rock/Punk/Metal",Victims!$Q$2:$Q$72,"Parking lot")</f>
        <v>1</v>
      </c>
      <c r="F11" s="13" t="n">
        <f aca="false">COUNTIFS(Perpetrators!$B$2:$B$38,"Rock/Punk/Metal",Perpetrators!$P$2:$P$38,"Parking lot")</f>
        <v>0</v>
      </c>
      <c r="G11" s="13" t="n">
        <f aca="false">COUNTIFS('Scene Violence'!$B$2:$B$20,"Rock/Punk/Metal",'Scene Violence'!$L$2:$L$20,"Parking lot")</f>
        <v>1</v>
      </c>
      <c r="I11" s="6" t="s">
        <v>192</v>
      </c>
      <c r="J11" s="6" t="s">
        <v>180</v>
      </c>
    </row>
    <row r="12" customFormat="false" ht="15" hidden="false" customHeight="false" outlineLevel="0" collapsed="false">
      <c r="A12" s="13" t="s">
        <v>193</v>
      </c>
      <c r="B12" s="13" t="n">
        <f aca="false">COUNTIFS(Victims!$B$2:$B$72,"Hip-hop/Rap",Victims!$Q$2:$Q$72,"Restaurant/store/business")</f>
        <v>5</v>
      </c>
      <c r="C12" s="13" t="n">
        <f aca="false">COUNTIFS(Perpetrators!$B$2:$B$38,"Hip-hop/Rap",Perpetrators!$P$2:$P$38,"Restaurant/store/business")</f>
        <v>2</v>
      </c>
      <c r="D12" s="13" t="n">
        <f aca="false">COUNTIFS('Scene Violence'!$B$2:$B$20,"Hip-hop/Rap",'Scene Violence'!$L$2:$L$20,"Restaurant/store/business")</f>
        <v>0</v>
      </c>
      <c r="E12" s="13" t="n">
        <f aca="false">COUNTIFS(Victims!$B$2:$B$72,"Rock/Punk/Metal",Victims!$Q$2:$Q$72,"Restaurant/store/business")</f>
        <v>0</v>
      </c>
      <c r="F12" s="13" t="n">
        <f aca="false">COUNTIFS(Perpetrators!$B$2:$B$38,"Rock/Punk/Metal",Perpetrators!$P$2:$P$38,"Restaurant/store/business")</f>
        <v>0</v>
      </c>
      <c r="G12" s="13" t="n">
        <f aca="false">COUNTIFS('Scene Violence'!$B$2:$B$20,"Rock/Punk/Metal",'Scene Violence'!$L$2:$L$20,"Restaurant/store/business")</f>
        <v>0</v>
      </c>
      <c r="I12" s="6" t="s">
        <v>194</v>
      </c>
      <c r="J12" s="6" t="s">
        <v>180</v>
      </c>
    </row>
    <row r="13" customFormat="false" ht="15" hidden="false" customHeight="false" outlineLevel="0" collapsed="false">
      <c r="A13" s="13" t="s">
        <v>195</v>
      </c>
      <c r="B13" s="13" t="n">
        <f aca="false">COUNTIFS(Victims!$B$2:$B$72,"Hip-hop/Rap",Victims!$Q$2:$Q$72,"Hotel/motel")</f>
        <v>0</v>
      </c>
      <c r="C13" s="13" t="n">
        <f aca="false">COUNTIFS(Perpetrators!$B$2:$B$38,"Hip-hop/Rap",Perpetrators!$P$2:$P$38,"Hotel/motel")</f>
        <v>1</v>
      </c>
      <c r="D13" s="13" t="n">
        <f aca="false">COUNTIFS('Scene Violence'!$B$2:$B$20,"Hip-hop/Rap",'Scene Violence'!$L$2:$L$20,"Hotel/motel")</f>
        <v>1</v>
      </c>
      <c r="E13" s="13" t="n">
        <f aca="false">COUNTIFS(Victims!$B$2:$B$72,"Rock/Punk/Metal",Victims!$Q$2:$Q$72,"Hotel/motel")</f>
        <v>0</v>
      </c>
      <c r="F13" s="13" t="n">
        <f aca="false">COUNTIFS(Perpetrators!$B$2:$B$38,"Rock/Punk/Metal",Perpetrators!$P$2:$P$38,"Hotel/motel")</f>
        <v>1</v>
      </c>
      <c r="G13" s="13" t="n">
        <f aca="false">COUNTIFS('Scene Violence'!$B$2:$B$20,"Rock/Punk/Metal",'Scene Violence'!$L$2:$L$20,"Hotel/motel")</f>
        <v>0</v>
      </c>
      <c r="I13" s="6" t="s">
        <v>196</v>
      </c>
      <c r="J13" s="6" t="s">
        <v>180</v>
      </c>
    </row>
    <row r="14" customFormat="false" ht="15" hidden="false" customHeight="false" outlineLevel="0" collapsed="false">
      <c r="A14" s="13" t="s">
        <v>197</v>
      </c>
      <c r="B14" s="13" t="n">
        <f aca="false">COUNTIFS(Victims!$B$2:$B$72,"Hip-hop/Rap",Victims!$Q$2:$Q$72,"Recording studio")</f>
        <v>2</v>
      </c>
      <c r="C14" s="13" t="n">
        <f aca="false">COUNTIFS(Perpetrators!$B$2:$B$38,"Hip-hop/Rap",Perpetrators!$P$2:$P$38,"Recording studio")</f>
        <v>0</v>
      </c>
      <c r="D14" s="13" t="n">
        <f aca="false">COUNTIFS('Scene Violence'!$B$2:$B$20,"Hip-hop/Rap",'Scene Violence'!$L$2:$L$20,"Recording studio")</f>
        <v>0</v>
      </c>
      <c r="E14" s="13" t="n">
        <f aca="false">COUNTIFS(Victims!$B$2:$B$72,"Rock/Punk/Metal",Victims!$Q$2:$Q$72,"Recording studio")</f>
        <v>0</v>
      </c>
      <c r="F14" s="13" t="n">
        <f aca="false">COUNTIFS(Perpetrators!$B$2:$B$38,"Rock/Punk/Metal",Perpetrators!$P$2:$P$38,"Recording studio")</f>
        <v>0</v>
      </c>
      <c r="G14" s="13" t="n">
        <f aca="false">COUNTIFS('Scene Violence'!$B$2:$B$20,"Rock/Punk/Metal",'Scene Violence'!$L$2:$L$20,"Recording studio")</f>
        <v>0</v>
      </c>
      <c r="I14" s="6" t="s">
        <v>198</v>
      </c>
      <c r="J14" s="6" t="s">
        <v>199</v>
      </c>
    </row>
    <row r="15" customFormat="false" ht="15" hidden="false" customHeight="false" outlineLevel="0" collapsed="false">
      <c r="A15" s="13" t="s">
        <v>200</v>
      </c>
      <c r="B15" s="13" t="n">
        <f aca="false">COUNTIFS(Victims!$B$2:$B$72,"Hip-hop/Rap",Victims!$Q$2:$Q$72,"Other/remote")</f>
        <v>1</v>
      </c>
      <c r="C15" s="13" t="n">
        <f aca="false">COUNTIFS(Perpetrators!$B$2:$B$38,"Hip-hop/Rap",Perpetrators!$P$2:$P$38,"Other/remote")</f>
        <v>0</v>
      </c>
      <c r="D15" s="13" t="n">
        <f aca="false">COUNTIFS('Scene Violence'!$B$2:$B$20,"Hip-hop/Rap",'Scene Violence'!$L$2:$L$20,"Other/remote")</f>
        <v>0</v>
      </c>
      <c r="E15" s="13" t="n">
        <f aca="false">COUNTIFS(Victims!$B$2:$B$72,"Rock/Punk/Metal",Victims!$Q$2:$Q$72,"Other/remote")</f>
        <v>1</v>
      </c>
      <c r="F15" s="13" t="n">
        <f aca="false">COUNTIFS(Perpetrators!$B$2:$B$38,"Rock/Punk/Metal",Perpetrators!$P$2:$P$38,"Other/remote")</f>
        <v>1</v>
      </c>
      <c r="G15" s="13" t="n">
        <f aca="false">COUNTIFS('Scene Violence'!$B$2:$B$20,"Rock/Punk/Metal",'Scene Violence'!$L$2:$L$20,"Other/remote")</f>
        <v>1</v>
      </c>
      <c r="I15" s="6" t="s">
        <v>201</v>
      </c>
      <c r="J15" s="6" t="s">
        <v>199</v>
      </c>
    </row>
    <row r="16" customFormat="false" ht="15" hidden="false" customHeight="false" outlineLevel="0" collapsed="false">
      <c r="A16" s="13" t="s">
        <v>47</v>
      </c>
      <c r="B16" s="13" t="n">
        <f aca="false">COUNTIFS(Victims!$B$2:$B$72,"Hip-hop/Rap",Victims!$Q$2:$Q$72,"Not reported")</f>
        <v>24</v>
      </c>
      <c r="C16" s="13" t="n">
        <f aca="false">COUNTIFS(Perpetrators!$B$2:$B$38,"Hip-hop/Rap",Perpetrators!$P$2:$P$38,"Not reported")</f>
        <v>10</v>
      </c>
      <c r="D16" s="13" t="n">
        <f aca="false">COUNTIFS('Scene Violence'!$B$2:$B$20,"Hip-hop/Rap",'Scene Violence'!$L$2:$L$20,"Not reported")</f>
        <v>1</v>
      </c>
      <c r="E16" s="13" t="n">
        <f aca="false">COUNTIFS(Victims!$B$2:$B$72,"Rock/Punk/Metal",Victims!$Q$2:$Q$72,"Not reported")</f>
        <v>4</v>
      </c>
      <c r="F16" s="13" t="n">
        <f aca="false">COUNTIFS(Perpetrators!$B$2:$B$38,"Rock/Punk/Metal",Perpetrators!$P$2:$P$38,"Not reported")</f>
        <v>0</v>
      </c>
      <c r="G16" s="13" t="n">
        <f aca="false">COUNTIFS('Scene Violence'!$B$2:$B$20,"Rock/Punk/Metal",'Scene Violence'!$L$2:$L$20,"Not reported")</f>
        <v>0</v>
      </c>
      <c r="I16" s="6" t="s">
        <v>202</v>
      </c>
      <c r="J16" s="6" t="s">
        <v>199</v>
      </c>
    </row>
    <row r="17" customFormat="false" ht="15" hidden="false" customHeight="false" outlineLevel="0" collapsed="false">
      <c r="A17" s="3" t="s">
        <v>5</v>
      </c>
      <c r="B17" s="3" t="n">
        <f aca="false">SUM(B6:B16)</f>
        <v>56</v>
      </c>
      <c r="C17" s="3" t="n">
        <f aca="false">SUM(C6:C16)</f>
        <v>28</v>
      </c>
      <c r="D17" s="3" t="n">
        <f aca="false">SUM(D6:D16)</f>
        <v>10</v>
      </c>
      <c r="E17" s="3" t="n">
        <f aca="false">SUM(E6:E16)</f>
        <v>15</v>
      </c>
      <c r="F17" s="3" t="n">
        <f aca="false">SUM(F6:F16)</f>
        <v>9</v>
      </c>
      <c r="G17" s="3" t="n">
        <f aca="false">SUM(G6:G16)</f>
        <v>9</v>
      </c>
      <c r="I17" s="6" t="s">
        <v>203</v>
      </c>
      <c r="J17" s="6" t="s">
        <v>199</v>
      </c>
    </row>
    <row r="18" customFormat="false" ht="15" hidden="false" customHeight="false" outlineLevel="0" collapsed="false">
      <c r="I18" s="6" t="s">
        <v>204</v>
      </c>
      <c r="J18" s="6" t="s">
        <v>199</v>
      </c>
    </row>
    <row r="19" customFormat="false" ht="15" hidden="false" customHeight="false" outlineLevel="0" collapsed="false">
      <c r="A19" s="3" t="s">
        <v>205</v>
      </c>
      <c r="I19" s="6" t="s">
        <v>206</v>
      </c>
      <c r="J19" s="6" t="s">
        <v>199</v>
      </c>
    </row>
    <row r="20" customFormat="false" ht="26.85" hidden="false" customHeight="false" outlineLevel="0" collapsed="false">
      <c r="A20" s="18" t="s">
        <v>175</v>
      </c>
      <c r="B20" s="18" t="s">
        <v>31</v>
      </c>
      <c r="C20" s="18" t="s">
        <v>32</v>
      </c>
      <c r="D20" s="18" t="s">
        <v>177</v>
      </c>
      <c r="E20" s="18" t="s">
        <v>33</v>
      </c>
      <c r="F20" s="18" t="s">
        <v>34</v>
      </c>
      <c r="G20" s="18" t="s">
        <v>178</v>
      </c>
      <c r="I20" s="6" t="s">
        <v>207</v>
      </c>
      <c r="J20" s="6" t="s">
        <v>199</v>
      </c>
    </row>
    <row r="21" customFormat="false" ht="15" hidden="false" customHeight="false" outlineLevel="0" collapsed="false">
      <c r="A21" s="13" t="s">
        <v>180</v>
      </c>
      <c r="B21" s="13" t="n">
        <f aca="false">COUNTIFS(Victims!$B$2:$B$72,"Hip-hop/Rap",Victims!$S$2:$S$72,"Northeast")</f>
        <v>8</v>
      </c>
      <c r="C21" s="13" t="n">
        <f aca="false">COUNTIFS(Perpetrators!$B$2:$B$38,"Hip-hop/Rap",Perpetrators!$R$2:$R$38,"Northeast")</f>
        <v>7</v>
      </c>
      <c r="D21" s="13" t="n">
        <f aca="false">COUNTIFS('Scene Violence'!$B$2:$B$20,"Hip-hop/Rap",'Scene Violence'!$M$2:$M$20,"Northeast")</f>
        <v>1</v>
      </c>
      <c r="E21" s="13" t="n">
        <f aca="false">COUNTIFS(Victims!$B$2:$B$72,"Rock/Punk/Metal",Victims!$S$2:$S$72,"Northeast")</f>
        <v>3</v>
      </c>
      <c r="F21" s="13" t="n">
        <f aca="false">COUNTIFS(Perpetrators!$B$2:$B$38,"Rock/Punk/Metal",Perpetrators!$R$2:$R$38,"Northeast")</f>
        <v>1</v>
      </c>
      <c r="G21" s="13" t="n">
        <f aca="false">COUNTIFS('Scene Violence'!$B$2:$B$20,"Rock/Punk/Metal",'Scene Violence'!$M$2:$M$20,"Northeast")</f>
        <v>2</v>
      </c>
      <c r="I21" s="6" t="s">
        <v>208</v>
      </c>
      <c r="J21" s="6" t="s">
        <v>199</v>
      </c>
    </row>
    <row r="22" customFormat="false" ht="15" hidden="false" customHeight="false" outlineLevel="0" collapsed="false">
      <c r="A22" s="13" t="s">
        <v>199</v>
      </c>
      <c r="B22" s="13" t="n">
        <f aca="false">COUNTIFS(Victims!$B$2:$B$72,"Hip-hop/Rap",Victims!$S$2:$S$72,"Midwest")</f>
        <v>7</v>
      </c>
      <c r="C22" s="13" t="n">
        <f aca="false">COUNTIFS(Perpetrators!$B$2:$B$38,"Hip-hop/Rap",Perpetrators!$R$2:$R$38,"Midwest")</f>
        <v>0</v>
      </c>
      <c r="D22" s="13" t="n">
        <f aca="false">COUNTIFS('Scene Violence'!$B$2:$B$20,"Hip-hop/Rap",'Scene Violence'!$M$2:$M$20,"Midwest")</f>
        <v>2</v>
      </c>
      <c r="E22" s="13" t="n">
        <f aca="false">COUNTIFS(Victims!$B$2:$B$72,"Rock/Punk/Metal",Victims!$S$2:$S$72,"Midwest")</f>
        <v>3</v>
      </c>
      <c r="F22" s="13" t="n">
        <f aca="false">COUNTIFS(Perpetrators!$B$2:$B$38,"Rock/Punk/Metal",Perpetrators!$R$2:$R$38,"Midwest")</f>
        <v>0</v>
      </c>
      <c r="G22" s="13" t="n">
        <f aca="false">COUNTIFS('Scene Violence'!$B$2:$B$20,"Rock/Punk/Metal",'Scene Violence'!$M$2:$M$20,"Midwest")</f>
        <v>1</v>
      </c>
      <c r="I22" s="6" t="s">
        <v>209</v>
      </c>
      <c r="J22" s="6" t="s">
        <v>199</v>
      </c>
    </row>
    <row r="23" customFormat="false" ht="15" hidden="false" customHeight="false" outlineLevel="0" collapsed="false">
      <c r="A23" s="13" t="s">
        <v>210</v>
      </c>
      <c r="B23" s="13" t="n">
        <f aca="false">COUNTIFS(Victims!$B$2:$B$72,"Hip-hop/Rap",Victims!$S$2:$S$72,"South")</f>
        <v>28</v>
      </c>
      <c r="C23" s="13" t="n">
        <f aca="false">COUNTIFS(Perpetrators!$B$2:$B$38,"Hip-hop/Rap",Perpetrators!$R$2:$R$38,"South")</f>
        <v>11</v>
      </c>
      <c r="D23" s="13" t="n">
        <f aca="false">COUNTIFS('Scene Violence'!$B$2:$B$20,"Hip-hop/Rap",'Scene Violence'!$M$2:$M$20,"South")</f>
        <v>6</v>
      </c>
      <c r="E23" s="13" t="n">
        <f aca="false">COUNTIFS(Victims!$B$2:$B$72,"Rock/Punk/Metal",Victims!$S$2:$S$72,"South")</f>
        <v>6</v>
      </c>
      <c r="F23" s="13" t="n">
        <f aca="false">COUNTIFS(Perpetrators!$B$2:$B$38,"Rock/Punk/Metal",Perpetrators!$R$2:$R$38,"South")</f>
        <v>1</v>
      </c>
      <c r="G23" s="13" t="n">
        <f aca="false">COUNTIFS('Scene Violence'!$B$2:$B$20,"Rock/Punk/Metal",'Scene Violence'!$M$2:$M$20,"South")</f>
        <v>2</v>
      </c>
      <c r="I23" s="6" t="s">
        <v>211</v>
      </c>
      <c r="J23" s="6" t="s">
        <v>199</v>
      </c>
    </row>
    <row r="24" customFormat="false" ht="15" hidden="false" customHeight="false" outlineLevel="0" collapsed="false">
      <c r="A24" s="13" t="s">
        <v>212</v>
      </c>
      <c r="B24" s="13" t="n">
        <f aca="false">COUNTIFS(Victims!$B$2:$B$72,"Hip-hop/Rap",Victims!$S$2:$S$72,"West")</f>
        <v>12</v>
      </c>
      <c r="C24" s="13" t="n">
        <f aca="false">COUNTIFS(Perpetrators!$B$2:$B$38,"Hip-hop/Rap",Perpetrators!$R$2:$R$38,"West")</f>
        <v>10</v>
      </c>
      <c r="D24" s="13" t="n">
        <f aca="false">COUNTIFS('Scene Violence'!$B$2:$B$20,"Hip-hop/Rap",'Scene Violence'!$M$2:$M$20,"West")</f>
        <v>1</v>
      </c>
      <c r="E24" s="13" t="n">
        <f aca="false">COUNTIFS(Victims!$B$2:$B$72,"Rock/Punk/Metal",Victims!$S$2:$S$72,"West")</f>
        <v>3</v>
      </c>
      <c r="F24" s="13" t="n">
        <f aca="false">COUNTIFS(Perpetrators!$B$2:$B$38,"Rock/Punk/Metal",Perpetrators!$R$2:$R$38,"West")</f>
        <v>7</v>
      </c>
      <c r="G24" s="13" t="n">
        <f aca="false">COUNTIFS('Scene Violence'!$B$2:$B$20,"Rock/Punk/Metal",'Scene Violence'!$M$2:$M$20,"West")</f>
        <v>4</v>
      </c>
      <c r="I24" s="6" t="s">
        <v>213</v>
      </c>
      <c r="J24" s="6" t="s">
        <v>199</v>
      </c>
    </row>
    <row r="25" customFormat="false" ht="15" hidden="false" customHeight="false" outlineLevel="0" collapsed="false">
      <c r="A25" s="13" t="s">
        <v>214</v>
      </c>
      <c r="B25" s="13" t="n">
        <f aca="false">COUNTIFS(Victims!$B$2:$B$72,"Hip-hop/Rap",Victims!$S$2:$S$72,"U.S. territory")</f>
        <v>1</v>
      </c>
      <c r="C25" s="13" t="n">
        <f aca="false">COUNTIFS(Perpetrators!$B$2:$B$38,"Hip-hop/Rap",Perpetrators!$R$2:$R$38,"U.S. territory")</f>
        <v>0</v>
      </c>
      <c r="D25" s="13" t="n">
        <f aca="false">COUNTIFS('Scene Violence'!$B$2:$B$20,"Hip-hop/Rap",'Scene Violence'!$M$2:$M$20,"U.S. territory")</f>
        <v>0</v>
      </c>
      <c r="E25" s="13" t="n">
        <f aca="false">COUNTIFS(Victims!$B$2:$B$72,"Rock/Punk/Metal",Victims!$S$2:$S$72,"U.S. territory")</f>
        <v>0</v>
      </c>
      <c r="F25" s="13" t="n">
        <f aca="false">COUNTIFS(Perpetrators!$B$2:$B$38,"Rock/Punk/Metal",Perpetrators!$R$2:$R$38,"U.S. territory")</f>
        <v>0</v>
      </c>
      <c r="G25" s="13" t="n">
        <f aca="false">COUNTIFS('Scene Violence'!$B$2:$B$20,"Rock/Punk/Metal",'Scene Violence'!$M$2:$M$20,"U.S. territory")</f>
        <v>0</v>
      </c>
      <c r="I25" s="6" t="s">
        <v>215</v>
      </c>
      <c r="J25" s="6" t="s">
        <v>199</v>
      </c>
    </row>
    <row r="26" customFormat="false" ht="15" hidden="false" customHeight="false" outlineLevel="0" collapsed="false">
      <c r="A26" s="13" t="s">
        <v>216</v>
      </c>
      <c r="B26" s="13" t="n">
        <f aca="false">COUNTIFS(Victims!$B$2:$B$72,"Hip-hop/Rap",Victims!$S$2:$S$72,"Not mapped")</f>
        <v>0</v>
      </c>
      <c r="C26" s="13" t="n">
        <f aca="false">COUNTIFS(Perpetrators!$B$2:$B$38,"Hip-hop/Rap",Perpetrators!$R$2:$R$38,"Not mapped")</f>
        <v>0</v>
      </c>
      <c r="D26" s="13" t="n">
        <f aca="false">COUNTIFS('Scene Violence'!$B$2:$B$20,"Hip-hop/Rap",'Scene Violence'!$M$2:$M$20,"Not mapped")</f>
        <v>0</v>
      </c>
      <c r="E26" s="13" t="n">
        <f aca="false">COUNTIFS(Victims!$B$2:$B$72,"Rock/Punk/Metal",Victims!$S$2:$S$72,"Not mapped")</f>
        <v>0</v>
      </c>
      <c r="F26" s="13" t="n">
        <f aca="false">COUNTIFS(Perpetrators!$B$2:$B$38,"Rock/Punk/Metal",Perpetrators!$R$2:$R$38,"Not mapped")</f>
        <v>0</v>
      </c>
      <c r="G26" s="13" t="n">
        <f aca="false">COUNTIFS('Scene Violence'!$B$2:$B$20,"Rock/Punk/Metal",'Scene Violence'!$M$2:$M$20,"Not mapped")</f>
        <v>0</v>
      </c>
      <c r="I26" s="6" t="s">
        <v>217</v>
      </c>
      <c r="J26" s="6" t="s">
        <v>210</v>
      </c>
    </row>
    <row r="27" customFormat="false" ht="15" hidden="false" customHeight="false" outlineLevel="0" collapsed="false">
      <c r="A27" s="3" t="s">
        <v>5</v>
      </c>
      <c r="B27" s="3" t="n">
        <f aca="false">SUM(B21:B26)</f>
        <v>56</v>
      </c>
      <c r="C27" s="3" t="n">
        <f aca="false">SUM(C21:C26)</f>
        <v>28</v>
      </c>
      <c r="D27" s="3" t="n">
        <f aca="false">SUM(D21:D26)</f>
        <v>10</v>
      </c>
      <c r="E27" s="3" t="n">
        <f aca="false">SUM(E21:E26)</f>
        <v>15</v>
      </c>
      <c r="F27" s="3" t="n">
        <f aca="false">SUM(F21:F26)</f>
        <v>9</v>
      </c>
      <c r="G27" s="3" t="n">
        <f aca="false">SUM(G21:G26)</f>
        <v>9</v>
      </c>
      <c r="I27" s="6" t="s">
        <v>218</v>
      </c>
      <c r="J27" s="6" t="s">
        <v>210</v>
      </c>
    </row>
    <row r="28" customFormat="false" ht="15" hidden="false" customHeight="false" outlineLevel="0" collapsed="false">
      <c r="I28" s="6" t="s">
        <v>219</v>
      </c>
      <c r="J28" s="6" t="s">
        <v>210</v>
      </c>
    </row>
    <row r="29" customFormat="false" ht="15" hidden="false" customHeight="false" outlineLevel="0" collapsed="false">
      <c r="A29" s="3" t="s">
        <v>220</v>
      </c>
      <c r="I29" s="6" t="s">
        <v>221</v>
      </c>
      <c r="J29" s="6" t="s">
        <v>210</v>
      </c>
    </row>
    <row r="30" customFormat="false" ht="30" hidden="false" customHeight="true" outlineLevel="0" collapsed="false">
      <c r="A30" s="16" t="s">
        <v>222</v>
      </c>
      <c r="B30" s="16"/>
      <c r="C30" s="16"/>
      <c r="D30" s="16"/>
      <c r="E30" s="16"/>
      <c r="F30" s="16"/>
      <c r="G30" s="16"/>
      <c r="I30" s="6" t="s">
        <v>223</v>
      </c>
      <c r="J30" s="6" t="s">
        <v>210</v>
      </c>
    </row>
    <row r="31" customFormat="false" ht="30" hidden="false" customHeight="true" outlineLevel="0" collapsed="false">
      <c r="A31" s="16" t="s">
        <v>224</v>
      </c>
      <c r="B31" s="16"/>
      <c r="C31" s="16"/>
      <c r="D31" s="16"/>
      <c r="E31" s="16"/>
      <c r="F31" s="16"/>
      <c r="G31" s="16"/>
      <c r="I31" s="6" t="s">
        <v>225</v>
      </c>
      <c r="J31" s="6" t="s">
        <v>210</v>
      </c>
    </row>
    <row r="32" customFormat="false" ht="30" hidden="false" customHeight="true" outlineLevel="0" collapsed="false">
      <c r="A32" s="16" t="s">
        <v>226</v>
      </c>
      <c r="B32" s="16"/>
      <c r="C32" s="16"/>
      <c r="D32" s="16"/>
      <c r="E32" s="16"/>
      <c r="F32" s="16"/>
      <c r="G32" s="16"/>
      <c r="I32" s="6" t="s">
        <v>227</v>
      </c>
      <c r="J32" s="6" t="s">
        <v>210</v>
      </c>
    </row>
    <row r="33" customFormat="false" ht="30" hidden="false" customHeight="true" outlineLevel="0" collapsed="false">
      <c r="A33" s="16" t="s">
        <v>228</v>
      </c>
      <c r="B33" s="16"/>
      <c r="C33" s="16"/>
      <c r="D33" s="16"/>
      <c r="E33" s="16"/>
      <c r="F33" s="16"/>
      <c r="G33" s="16"/>
      <c r="I33" s="6" t="s">
        <v>229</v>
      </c>
      <c r="J33" s="6" t="s">
        <v>210</v>
      </c>
    </row>
    <row r="34" customFormat="false" ht="30" hidden="false" customHeight="true" outlineLevel="0" collapsed="false">
      <c r="A34" s="16" t="s">
        <v>230</v>
      </c>
      <c r="B34" s="16"/>
      <c r="C34" s="16"/>
      <c r="D34" s="16"/>
      <c r="E34" s="16"/>
      <c r="F34" s="16"/>
      <c r="G34" s="16"/>
      <c r="I34" s="6" t="s">
        <v>231</v>
      </c>
      <c r="J34" s="6" t="s">
        <v>210</v>
      </c>
    </row>
    <row r="35" customFormat="false" ht="30" hidden="false" customHeight="true" outlineLevel="0" collapsed="false">
      <c r="A35" s="16" t="s">
        <v>232</v>
      </c>
      <c r="B35" s="16"/>
      <c r="C35" s="16"/>
      <c r="D35" s="16"/>
      <c r="E35" s="16"/>
      <c r="F35" s="16"/>
      <c r="G35" s="16"/>
      <c r="I35" s="6" t="s">
        <v>233</v>
      </c>
      <c r="J35" s="6" t="s">
        <v>210</v>
      </c>
    </row>
    <row r="36" customFormat="false" ht="15" hidden="false" customHeight="false" outlineLevel="0" collapsed="false">
      <c r="I36" s="6" t="s">
        <v>234</v>
      </c>
      <c r="J36" s="6" t="s">
        <v>210</v>
      </c>
    </row>
    <row r="37" customFormat="false" ht="15" hidden="false" customHeight="false" outlineLevel="0" collapsed="false">
      <c r="I37" s="6" t="s">
        <v>235</v>
      </c>
      <c r="J37" s="6" t="s">
        <v>210</v>
      </c>
    </row>
    <row r="38" customFormat="false" ht="15" hidden="false" customHeight="false" outlineLevel="0" collapsed="false">
      <c r="I38" s="6" t="s">
        <v>236</v>
      </c>
      <c r="J38" s="6" t="s">
        <v>210</v>
      </c>
    </row>
    <row r="39" customFormat="false" ht="15" hidden="false" customHeight="false" outlineLevel="0" collapsed="false">
      <c r="I39" s="6" t="s">
        <v>237</v>
      </c>
      <c r="J39" s="6" t="s">
        <v>210</v>
      </c>
    </row>
    <row r="40" customFormat="false" ht="15" hidden="false" customHeight="false" outlineLevel="0" collapsed="false">
      <c r="I40" s="6" t="s">
        <v>238</v>
      </c>
      <c r="J40" s="6" t="s">
        <v>210</v>
      </c>
    </row>
    <row r="41" customFormat="false" ht="15" hidden="false" customHeight="false" outlineLevel="0" collapsed="false">
      <c r="I41" s="6" t="s">
        <v>239</v>
      </c>
      <c r="J41" s="6" t="s">
        <v>210</v>
      </c>
    </row>
    <row r="42" customFormat="false" ht="15" hidden="false" customHeight="false" outlineLevel="0" collapsed="false">
      <c r="I42" s="6" t="s">
        <v>240</v>
      </c>
      <c r="J42" s="6" t="s">
        <v>210</v>
      </c>
    </row>
    <row r="43" customFormat="false" ht="15" hidden="false" customHeight="false" outlineLevel="0" collapsed="false">
      <c r="I43" s="6" t="s">
        <v>241</v>
      </c>
      <c r="J43" s="6" t="s">
        <v>212</v>
      </c>
    </row>
    <row r="44" customFormat="false" ht="15" hidden="false" customHeight="false" outlineLevel="0" collapsed="false">
      <c r="I44" s="6" t="s">
        <v>242</v>
      </c>
      <c r="J44" s="6" t="s">
        <v>212</v>
      </c>
    </row>
    <row r="45" customFormat="false" ht="15" hidden="false" customHeight="false" outlineLevel="0" collapsed="false">
      <c r="I45" s="6" t="s">
        <v>243</v>
      </c>
      <c r="J45" s="6" t="s">
        <v>212</v>
      </c>
    </row>
    <row r="46" customFormat="false" ht="15" hidden="false" customHeight="false" outlineLevel="0" collapsed="false">
      <c r="I46" s="6" t="s">
        <v>244</v>
      </c>
      <c r="J46" s="6" t="s">
        <v>212</v>
      </c>
    </row>
    <row r="47" customFormat="false" ht="15" hidden="false" customHeight="false" outlineLevel="0" collapsed="false">
      <c r="I47" s="6" t="s">
        <v>245</v>
      </c>
      <c r="J47" s="6" t="s">
        <v>212</v>
      </c>
    </row>
    <row r="48" customFormat="false" ht="15" hidden="false" customHeight="false" outlineLevel="0" collapsed="false">
      <c r="I48" s="6" t="s">
        <v>246</v>
      </c>
      <c r="J48" s="6" t="s">
        <v>212</v>
      </c>
    </row>
    <row r="49" customFormat="false" ht="15" hidden="false" customHeight="false" outlineLevel="0" collapsed="false">
      <c r="I49" s="6" t="s">
        <v>247</v>
      </c>
      <c r="J49" s="6" t="s">
        <v>212</v>
      </c>
    </row>
    <row r="50" customFormat="false" ht="15" hidden="false" customHeight="false" outlineLevel="0" collapsed="false">
      <c r="I50" s="6" t="s">
        <v>248</v>
      </c>
      <c r="J50" s="6" t="s">
        <v>212</v>
      </c>
    </row>
    <row r="51" customFormat="false" ht="15" hidden="false" customHeight="false" outlineLevel="0" collapsed="false">
      <c r="I51" s="6" t="s">
        <v>249</v>
      </c>
      <c r="J51" s="6" t="s">
        <v>212</v>
      </c>
    </row>
    <row r="52" customFormat="false" ht="15" hidden="false" customHeight="false" outlineLevel="0" collapsed="false">
      <c r="I52" s="6" t="s">
        <v>250</v>
      </c>
      <c r="J52" s="6" t="s">
        <v>212</v>
      </c>
    </row>
    <row r="53" customFormat="false" ht="15" hidden="false" customHeight="false" outlineLevel="0" collapsed="false">
      <c r="I53" s="6" t="s">
        <v>251</v>
      </c>
      <c r="J53" s="6" t="s">
        <v>212</v>
      </c>
    </row>
    <row r="54" customFormat="false" ht="15" hidden="false" customHeight="false" outlineLevel="0" collapsed="false">
      <c r="I54" s="6" t="s">
        <v>252</v>
      </c>
      <c r="J54" s="6" t="s">
        <v>212</v>
      </c>
    </row>
    <row r="55" customFormat="false" ht="15" hidden="false" customHeight="false" outlineLevel="0" collapsed="false">
      <c r="I55" s="6" t="s">
        <v>253</v>
      </c>
      <c r="J55" s="6" t="s">
        <v>212</v>
      </c>
    </row>
    <row r="56" customFormat="false" ht="15" hidden="false" customHeight="false" outlineLevel="0" collapsed="false">
      <c r="I56" s="6" t="s">
        <v>254</v>
      </c>
      <c r="J56" s="6" t="s">
        <v>214</v>
      </c>
    </row>
  </sheetData>
  <mergeCells count="6">
    <mergeCell ref="A30:G30"/>
    <mergeCell ref="A31:G31"/>
    <mergeCell ref="A32:G32"/>
    <mergeCell ref="A33:G33"/>
    <mergeCell ref="A34:G34"/>
    <mergeCell ref="A35:G3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4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16"/>
    <col collapsed="false" customWidth="true" hidden="false" outlineLevel="0" max="3" min="3" style="0" width="26"/>
    <col collapsed="false" customWidth="true" hidden="false" outlineLevel="0" max="4" min="4" style="0" width="18"/>
    <col collapsed="false" customWidth="true" hidden="false" outlineLevel="0" max="5" min="5" style="0" width="14"/>
  </cols>
  <sheetData>
    <row r="1" customFormat="false" ht="17.35" hidden="false" customHeight="false" outlineLevel="0" collapsed="false">
      <c r="A1" s="1" t="s">
        <v>255</v>
      </c>
    </row>
    <row r="2" customFormat="false" ht="15" hidden="false" customHeight="false" outlineLevel="0" collapsed="false">
      <c r="A2" s="2" t="s">
        <v>256</v>
      </c>
    </row>
    <row r="4" customFormat="false" ht="15" hidden="false" customHeight="false" outlineLevel="0" collapsed="false">
      <c r="A4" s="3" t="s">
        <v>257</v>
      </c>
    </row>
    <row r="5" customFormat="false" ht="15" hidden="false" customHeight="false" outlineLevel="0" collapsed="false">
      <c r="A5" s="4" t="s">
        <v>258</v>
      </c>
      <c r="B5" s="4" t="s">
        <v>3</v>
      </c>
      <c r="C5" s="4" t="s">
        <v>147</v>
      </c>
      <c r="D5" s="4" t="s">
        <v>4</v>
      </c>
      <c r="E5" s="4" t="s">
        <v>148</v>
      </c>
    </row>
    <row r="6" customFormat="false" ht="15" hidden="false" customHeight="false" outlineLevel="0" collapsed="false">
      <c r="A6" s="13" t="s">
        <v>259</v>
      </c>
      <c r="B6" s="13" t="n">
        <f aca="false">COUNTIFS(Victims!$B$2:$B$72,"Hip-hop/Rap",Victims!$O$2:$O$72,"Black")</f>
        <v>45</v>
      </c>
      <c r="C6" s="19" t="n">
        <f aca="false">IF($B$13=0,0,B6/$B$13)</f>
        <v>0.803571428571429</v>
      </c>
      <c r="D6" s="13" t="n">
        <f aca="false">COUNTIFS(Victims!$B$2:$B$72,"Rock/Punk/Metal",Victims!$O$2:$O$72,"Black")</f>
        <v>1</v>
      </c>
      <c r="E6" s="19" t="n">
        <f aca="false">IF($D$13=0,0,D6/$D$13)</f>
        <v>0.0666666666666667</v>
      </c>
    </row>
    <row r="7" customFormat="false" ht="15" hidden="false" customHeight="false" outlineLevel="0" collapsed="false">
      <c r="A7" s="13" t="s">
        <v>260</v>
      </c>
      <c r="B7" s="13" t="n">
        <f aca="false">COUNTIFS(Victims!$B$2:$B$72,"Hip-hop/Rap",Victims!$O$2:$O$72,"White")</f>
        <v>0</v>
      </c>
      <c r="C7" s="19" t="n">
        <f aca="false">IF($B$13=0,0,B7/$B$13)</f>
        <v>0</v>
      </c>
      <c r="D7" s="13" t="n">
        <f aca="false">COUNTIFS(Victims!$B$2:$B$72,"Rock/Punk/Metal",Victims!$O$2:$O$72,"White")</f>
        <v>12</v>
      </c>
      <c r="E7" s="19" t="n">
        <f aca="false">IF($D$13=0,0,D7/$D$13)</f>
        <v>0.8</v>
      </c>
    </row>
    <row r="8" customFormat="false" ht="15" hidden="false" customHeight="false" outlineLevel="0" collapsed="false">
      <c r="A8" s="13" t="s">
        <v>261</v>
      </c>
      <c r="B8" s="13" t="n">
        <f aca="false">COUNTIFS(Victims!$B$2:$B$72,"Hip-hop/Rap",Victims!$O$2:$O$72,"Latino")</f>
        <v>1</v>
      </c>
      <c r="C8" s="19" t="n">
        <f aca="false">IF($B$13=0,0,B8/$B$13)</f>
        <v>0.0178571428571429</v>
      </c>
      <c r="D8" s="13" t="n">
        <f aca="false">COUNTIFS(Victims!$B$2:$B$72,"Rock/Punk/Metal",Victims!$O$2:$O$72,"Latino")</f>
        <v>0</v>
      </c>
      <c r="E8" s="19" t="n">
        <f aca="false">IF($D$13=0,0,D8/$D$13)</f>
        <v>0</v>
      </c>
    </row>
    <row r="9" customFormat="false" ht="15" hidden="false" customHeight="false" outlineLevel="0" collapsed="false">
      <c r="A9" s="13" t="s">
        <v>262</v>
      </c>
      <c r="B9" s="13" t="n">
        <f aca="false">COUNTIFS(Victims!$B$2:$B$72,"Hip-hop/Rap",Victims!$O$2:$O$72,"Asian")</f>
        <v>0</v>
      </c>
      <c r="C9" s="19" t="n">
        <f aca="false">IF($B$13=0,0,B9/$B$13)</f>
        <v>0</v>
      </c>
      <c r="D9" s="13" t="n">
        <f aca="false">COUNTIFS(Victims!$B$2:$B$72,"Rock/Punk/Metal",Victims!$O$2:$O$72,"Asian")</f>
        <v>0</v>
      </c>
      <c r="E9" s="19" t="n">
        <f aca="false">IF($D$13=0,0,D9/$D$13)</f>
        <v>0</v>
      </c>
    </row>
    <row r="10" customFormat="false" ht="15" hidden="false" customHeight="false" outlineLevel="0" collapsed="false">
      <c r="A10" s="13" t="s">
        <v>263</v>
      </c>
      <c r="B10" s="13" t="n">
        <f aca="false">COUNTIFS(Victims!$B$2:$B$72,"Hip-hop/Rap",Victims!$O$2:$O$72,"Pacific Islander")</f>
        <v>0</v>
      </c>
      <c r="C10" s="19" t="n">
        <f aca="false">IF($B$13=0,0,B10/$B$13)</f>
        <v>0</v>
      </c>
      <c r="D10" s="13" t="n">
        <f aca="false">COUNTIFS(Victims!$B$2:$B$72,"Rock/Punk/Metal",Victims!$O$2:$O$72,"Pacific Islander")</f>
        <v>0</v>
      </c>
      <c r="E10" s="19" t="n">
        <f aca="false">IF($D$13=0,0,D10/$D$13)</f>
        <v>0</v>
      </c>
    </row>
    <row r="11" customFormat="false" ht="15" hidden="false" customHeight="false" outlineLevel="0" collapsed="false">
      <c r="A11" s="13" t="s">
        <v>264</v>
      </c>
      <c r="B11" s="13" t="n">
        <f aca="false">COUNTIFS(Victims!$B$2:$B$72,"Hip-hop/Rap",Victims!$O$2:$O$72,"Multiracial")</f>
        <v>0</v>
      </c>
      <c r="C11" s="19" t="n">
        <f aca="false">IF($B$13=0,0,B11/$B$13)</f>
        <v>0</v>
      </c>
      <c r="D11" s="13" t="n">
        <f aca="false">COUNTIFS(Victims!$B$2:$B$72,"Rock/Punk/Metal",Victims!$O$2:$O$72,"Multiracial")</f>
        <v>0</v>
      </c>
      <c r="E11" s="19" t="n">
        <f aca="false">IF($D$13=0,0,D11/$D$13)</f>
        <v>0</v>
      </c>
    </row>
    <row r="12" customFormat="false" ht="15" hidden="false" customHeight="false" outlineLevel="0" collapsed="false">
      <c r="A12" s="13" t="s">
        <v>265</v>
      </c>
      <c r="B12" s="13" t="n">
        <f aca="false">COUNTIFS(Victims!$B$2:$B$72,"Hip-hop/Rap",Victims!$O$2:$O$72,"Not confirmed")</f>
        <v>10</v>
      </c>
      <c r="C12" s="19" t="n">
        <f aca="false">IF($B$13=0,0,B12/$B$13)</f>
        <v>0.178571428571429</v>
      </c>
      <c r="D12" s="13" t="n">
        <f aca="false">COUNTIFS(Victims!$B$2:$B$72,"Rock/Punk/Metal",Victims!$O$2:$O$72,"Not confirmed")</f>
        <v>2</v>
      </c>
      <c r="E12" s="19" t="n">
        <f aca="false">IF($D$13=0,0,D12/$D$13)</f>
        <v>0.133333333333333</v>
      </c>
    </row>
    <row r="13" customFormat="false" ht="15" hidden="false" customHeight="false" outlineLevel="0" collapsed="false">
      <c r="A13" s="3" t="s">
        <v>5</v>
      </c>
      <c r="B13" s="3" t="n">
        <f aca="false">SUM(B6:B12)</f>
        <v>56</v>
      </c>
      <c r="D13" s="3" t="n">
        <f aca="false">SUM(D6:D12)</f>
        <v>15</v>
      </c>
    </row>
    <row r="14" customFormat="false" ht="15" hidden="false" customHeight="false" outlineLevel="0" collapsed="false">
      <c r="A14" s="8" t="s">
        <v>266</v>
      </c>
      <c r="B14" s="9" t="n">
        <f aca="false">IF(B13=0,0,1-B12/B13)</f>
        <v>0.821428571428571</v>
      </c>
      <c r="D14" s="9" t="n">
        <f aca="false">IF(D13=0,0,1-D12/D13)</f>
        <v>0.866666666666667</v>
      </c>
    </row>
    <row r="16" customFormat="false" ht="15" hidden="false" customHeight="false" outlineLevel="0" collapsed="false">
      <c r="A16" s="3" t="s">
        <v>267</v>
      </c>
    </row>
    <row r="17" customFormat="false" ht="15" hidden="false" customHeight="false" outlineLevel="0" collapsed="false">
      <c r="A17" s="4" t="s">
        <v>258</v>
      </c>
      <c r="B17" s="4" t="s">
        <v>3</v>
      </c>
      <c r="C17" s="4" t="s">
        <v>147</v>
      </c>
      <c r="D17" s="4" t="s">
        <v>4</v>
      </c>
      <c r="E17" s="4" t="s">
        <v>148</v>
      </c>
    </row>
    <row r="18" customFormat="false" ht="15" hidden="false" customHeight="false" outlineLevel="0" collapsed="false">
      <c r="A18" s="13" t="s">
        <v>259</v>
      </c>
      <c r="B18" s="13" t="n">
        <f aca="false">COUNTIFS(Perpetrators!$B$2:$B$38,"Hip-hop/Rap",Perpetrators!$O$2:$O$38,"Black")</f>
        <v>24</v>
      </c>
      <c r="C18" s="19" t="n">
        <f aca="false">IF($B$25=0,0,B18/$B$25)</f>
        <v>0.857142857142857</v>
      </c>
      <c r="D18" s="13" t="n">
        <f aca="false">COUNTIFS(Perpetrators!$B$2:$B$38,"Rock/Punk/Metal",Perpetrators!$O$2:$O$38,"Black")</f>
        <v>0</v>
      </c>
      <c r="E18" s="19" t="n">
        <f aca="false">IF($D$25=0,0,D18/$D$25)</f>
        <v>0</v>
      </c>
    </row>
    <row r="19" customFormat="false" ht="15" hidden="false" customHeight="false" outlineLevel="0" collapsed="false">
      <c r="A19" s="13" t="s">
        <v>260</v>
      </c>
      <c r="B19" s="13" t="n">
        <f aca="false">COUNTIFS(Perpetrators!$B$2:$B$38,"Hip-hop/Rap",Perpetrators!$O$2:$O$38,"White")</f>
        <v>0</v>
      </c>
      <c r="C19" s="19" t="n">
        <f aca="false">IF($B$25=0,0,B19/$B$25)</f>
        <v>0</v>
      </c>
      <c r="D19" s="13" t="n">
        <f aca="false">COUNTIFS(Perpetrators!$B$2:$B$38,"Rock/Punk/Metal",Perpetrators!$O$2:$O$38,"White")</f>
        <v>8</v>
      </c>
      <c r="E19" s="19" t="n">
        <f aca="false">IF($D$25=0,0,D19/$D$25)</f>
        <v>0.888888888888889</v>
      </c>
    </row>
    <row r="20" customFormat="false" ht="15" hidden="false" customHeight="false" outlineLevel="0" collapsed="false">
      <c r="A20" s="13" t="s">
        <v>261</v>
      </c>
      <c r="B20" s="13" t="n">
        <f aca="false">COUNTIFS(Perpetrators!$B$2:$B$38,"Hip-hop/Rap",Perpetrators!$O$2:$O$38,"Latino")</f>
        <v>0</v>
      </c>
      <c r="C20" s="19" t="n">
        <f aca="false">IF($B$25=0,0,B20/$B$25)</f>
        <v>0</v>
      </c>
      <c r="D20" s="13" t="n">
        <f aca="false">COUNTIFS(Perpetrators!$B$2:$B$38,"Rock/Punk/Metal",Perpetrators!$O$2:$O$38,"Latino")</f>
        <v>0</v>
      </c>
      <c r="E20" s="19" t="n">
        <f aca="false">IF($D$25=0,0,D20/$D$25)</f>
        <v>0</v>
      </c>
    </row>
    <row r="21" customFormat="false" ht="15" hidden="false" customHeight="false" outlineLevel="0" collapsed="false">
      <c r="A21" s="13" t="s">
        <v>262</v>
      </c>
      <c r="B21" s="13" t="n">
        <f aca="false">COUNTIFS(Perpetrators!$B$2:$B$38,"Hip-hop/Rap",Perpetrators!$O$2:$O$38,"Asian")</f>
        <v>0</v>
      </c>
      <c r="C21" s="19" t="n">
        <f aca="false">IF($B$25=0,0,B21/$B$25)</f>
        <v>0</v>
      </c>
      <c r="D21" s="13" t="n">
        <f aca="false">COUNTIFS(Perpetrators!$B$2:$B$38,"Rock/Punk/Metal",Perpetrators!$O$2:$O$38,"Asian")</f>
        <v>0</v>
      </c>
      <c r="E21" s="19" t="n">
        <f aca="false">IF($D$25=0,0,D21/$D$25)</f>
        <v>0</v>
      </c>
    </row>
    <row r="22" customFormat="false" ht="15" hidden="false" customHeight="false" outlineLevel="0" collapsed="false">
      <c r="A22" s="13" t="s">
        <v>263</v>
      </c>
      <c r="B22" s="13" t="n">
        <f aca="false">COUNTIFS(Perpetrators!$B$2:$B$38,"Hip-hop/Rap",Perpetrators!$O$2:$O$38,"Pacific Islander")</f>
        <v>0</v>
      </c>
      <c r="C22" s="19" t="n">
        <f aca="false">IF($B$25=0,0,B22/$B$25)</f>
        <v>0</v>
      </c>
      <c r="D22" s="13" t="n">
        <f aca="false">COUNTIFS(Perpetrators!$B$2:$B$38,"Rock/Punk/Metal",Perpetrators!$O$2:$O$38,"Pacific Islander")</f>
        <v>0</v>
      </c>
      <c r="E22" s="19" t="n">
        <f aca="false">IF($D$25=0,0,D22/$D$25)</f>
        <v>0</v>
      </c>
    </row>
    <row r="23" customFormat="false" ht="15" hidden="false" customHeight="false" outlineLevel="0" collapsed="false">
      <c r="A23" s="13" t="s">
        <v>264</v>
      </c>
      <c r="B23" s="13" t="n">
        <f aca="false">COUNTIFS(Perpetrators!$B$2:$B$38,"Hip-hop/Rap",Perpetrators!$O$2:$O$38,"Multiracial")</f>
        <v>0</v>
      </c>
      <c r="C23" s="19" t="n">
        <f aca="false">IF($B$25=0,0,B23/$B$25)</f>
        <v>0</v>
      </c>
      <c r="D23" s="13" t="n">
        <f aca="false">COUNTIFS(Perpetrators!$B$2:$B$38,"Rock/Punk/Metal",Perpetrators!$O$2:$O$38,"Multiracial")</f>
        <v>0</v>
      </c>
      <c r="E23" s="19" t="n">
        <f aca="false">IF($D$25=0,0,D23/$D$25)</f>
        <v>0</v>
      </c>
    </row>
    <row r="24" customFormat="false" ht="15" hidden="false" customHeight="false" outlineLevel="0" collapsed="false">
      <c r="A24" s="13" t="s">
        <v>265</v>
      </c>
      <c r="B24" s="13" t="n">
        <f aca="false">COUNTIFS(Perpetrators!$B$2:$B$38,"Hip-hop/Rap",Perpetrators!$O$2:$O$38,"Not confirmed")</f>
        <v>4</v>
      </c>
      <c r="C24" s="19" t="n">
        <f aca="false">IF($B$25=0,0,B24/$B$25)</f>
        <v>0.142857142857143</v>
      </c>
      <c r="D24" s="13" t="n">
        <f aca="false">COUNTIFS(Perpetrators!$B$2:$B$38,"Rock/Punk/Metal",Perpetrators!$O$2:$O$38,"Not confirmed")</f>
        <v>1</v>
      </c>
      <c r="E24" s="19" t="n">
        <f aca="false">IF($D$25=0,0,D24/$D$25)</f>
        <v>0.111111111111111</v>
      </c>
    </row>
    <row r="25" customFormat="false" ht="15" hidden="false" customHeight="false" outlineLevel="0" collapsed="false">
      <c r="A25" s="3" t="s">
        <v>5</v>
      </c>
      <c r="B25" s="3" t="n">
        <f aca="false">SUM(B18:B24)</f>
        <v>28</v>
      </c>
      <c r="D25" s="3" t="n">
        <f aca="false">SUM(D18:D24)</f>
        <v>9</v>
      </c>
    </row>
    <row r="26" customFormat="false" ht="15" hidden="false" customHeight="false" outlineLevel="0" collapsed="false">
      <c r="A26" s="8" t="s">
        <v>266</v>
      </c>
      <c r="B26" s="9" t="n">
        <f aca="false">IF(B25=0,0,1-B24/B25)</f>
        <v>0.857142857142857</v>
      </c>
      <c r="D26" s="9" t="n">
        <f aca="false">IF(D25=0,0,1-D24/D25)</f>
        <v>0.888888888888889</v>
      </c>
    </row>
    <row r="28" customFormat="false" ht="15" hidden="false" customHeight="false" outlineLevel="0" collapsed="false">
      <c r="A28" s="3" t="s">
        <v>268</v>
      </c>
    </row>
    <row r="29" customFormat="false" ht="15" hidden="false" customHeight="false" outlineLevel="0" collapsed="false">
      <c r="A29" s="4" t="s">
        <v>269</v>
      </c>
      <c r="B29" s="4" t="s">
        <v>270</v>
      </c>
      <c r="C29" s="4" t="s">
        <v>271</v>
      </c>
      <c r="D29" s="4" t="s">
        <v>50</v>
      </c>
    </row>
    <row r="30" customFormat="false" ht="15" hidden="false" customHeight="false" outlineLevel="0" collapsed="false">
      <c r="A30" s="13" t="s">
        <v>272</v>
      </c>
      <c r="B30" s="13" t="s">
        <v>259</v>
      </c>
      <c r="C30" s="13" t="s">
        <v>259</v>
      </c>
      <c r="D30" s="13" t="s">
        <v>3</v>
      </c>
    </row>
    <row r="31" customFormat="false" ht="15" hidden="false" customHeight="false" outlineLevel="0" collapsed="false">
      <c r="A31" s="13" t="s">
        <v>273</v>
      </c>
      <c r="B31" s="13" t="s">
        <v>259</v>
      </c>
      <c r="C31" s="13" t="s">
        <v>259</v>
      </c>
      <c r="D31" s="13" t="s">
        <v>3</v>
      </c>
    </row>
    <row r="32" customFormat="false" ht="15" hidden="false" customHeight="false" outlineLevel="0" collapsed="false">
      <c r="A32" s="13" t="s">
        <v>274</v>
      </c>
      <c r="B32" s="13" t="s">
        <v>260</v>
      </c>
      <c r="C32" s="13" t="s">
        <v>260</v>
      </c>
      <c r="D32" s="13" t="s">
        <v>4</v>
      </c>
    </row>
    <row r="33" customFormat="false" ht="15" hidden="false" customHeight="false" outlineLevel="0" collapsed="false">
      <c r="A33" s="13" t="s">
        <v>275</v>
      </c>
      <c r="B33" s="13" t="s">
        <v>265</v>
      </c>
      <c r="C33" s="13" t="s">
        <v>276</v>
      </c>
      <c r="D33" s="13" t="s">
        <v>4</v>
      </c>
    </row>
    <row r="34" customFormat="false" ht="15" hidden="false" customHeight="false" outlineLevel="0" collapsed="false">
      <c r="A34" s="13" t="s">
        <v>277</v>
      </c>
      <c r="B34" s="13" t="s">
        <v>260</v>
      </c>
      <c r="C34" s="13" t="s">
        <v>260</v>
      </c>
      <c r="D34" s="13" t="s">
        <v>4</v>
      </c>
    </row>
    <row r="35" customFormat="false" ht="15" hidden="false" customHeight="false" outlineLevel="0" collapsed="false">
      <c r="A35" s="13" t="s">
        <v>278</v>
      </c>
      <c r="B35" s="13" t="s">
        <v>259</v>
      </c>
      <c r="C35" s="13" t="s">
        <v>279</v>
      </c>
      <c r="D35" s="13" t="s">
        <v>4</v>
      </c>
    </row>
    <row r="36" customFormat="false" ht="15" hidden="false" customHeight="false" outlineLevel="0" collapsed="false">
      <c r="A36" s="13" t="s">
        <v>280</v>
      </c>
      <c r="B36" s="13" t="s">
        <v>260</v>
      </c>
      <c r="C36" s="13" t="s">
        <v>260</v>
      </c>
      <c r="D36" s="13" t="s">
        <v>4</v>
      </c>
    </row>
    <row r="37" customFormat="false" ht="15" hidden="false" customHeight="false" outlineLevel="0" collapsed="false">
      <c r="A37" s="13" t="s">
        <v>281</v>
      </c>
      <c r="B37" s="13" t="s">
        <v>260</v>
      </c>
      <c r="C37" s="13" t="s">
        <v>259</v>
      </c>
      <c r="D37" s="13" t="s">
        <v>4</v>
      </c>
    </row>
    <row r="38" customFormat="false" ht="15" hidden="false" customHeight="false" outlineLevel="0" collapsed="false">
      <c r="A38" s="2" t="s">
        <v>282</v>
      </c>
    </row>
    <row r="40" customFormat="false" ht="15" hidden="false" customHeight="false" outlineLevel="0" collapsed="false">
      <c r="A40" s="3" t="s">
        <v>283</v>
      </c>
    </row>
    <row r="41" customFormat="false" ht="30" hidden="false" customHeight="true" outlineLevel="0" collapsed="false">
      <c r="A41" s="16" t="s">
        <v>284</v>
      </c>
      <c r="B41" s="16"/>
      <c r="C41" s="16"/>
      <c r="D41" s="16"/>
      <c r="E41" s="16"/>
    </row>
    <row r="42" customFormat="false" ht="30" hidden="false" customHeight="true" outlineLevel="0" collapsed="false">
      <c r="A42" s="16" t="s">
        <v>285</v>
      </c>
      <c r="B42" s="16"/>
      <c r="C42" s="16"/>
      <c r="D42" s="16"/>
      <c r="E42" s="16"/>
    </row>
    <row r="43" customFormat="false" ht="30" hidden="false" customHeight="true" outlineLevel="0" collapsed="false">
      <c r="A43" s="16" t="s">
        <v>286</v>
      </c>
      <c r="B43" s="16"/>
      <c r="C43" s="16"/>
      <c r="D43" s="16"/>
      <c r="E43" s="16"/>
    </row>
    <row r="44" customFormat="false" ht="30" hidden="false" customHeight="true" outlineLevel="0" collapsed="false">
      <c r="A44" s="16" t="s">
        <v>287</v>
      </c>
      <c r="B44" s="16"/>
      <c r="C44" s="16"/>
      <c r="D44" s="16"/>
      <c r="E44" s="16"/>
    </row>
    <row r="45" customFormat="false" ht="30" hidden="false" customHeight="true" outlineLevel="0" collapsed="false">
      <c r="A45" s="16" t="s">
        <v>288</v>
      </c>
      <c r="B45" s="16"/>
      <c r="C45" s="16"/>
      <c r="D45" s="16"/>
      <c r="E45" s="16"/>
    </row>
  </sheetData>
  <mergeCells count="5">
    <mergeCell ref="A41:E41"/>
    <mergeCell ref="A42:E42"/>
    <mergeCell ref="A43:E43"/>
    <mergeCell ref="A44:E44"/>
    <mergeCell ref="A45:E4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30"/>
    <col collapsed="false" customWidth="true" hidden="false" outlineLevel="0" max="3" min="3" style="0" width="60"/>
    <col collapsed="false" customWidth="true" hidden="false" outlineLevel="0" max="4" min="4" style="0" width="50"/>
    <col collapsed="false" customWidth="true" hidden="false" outlineLevel="0" max="5" min="5" style="0" width="9"/>
    <col collapsed="false" customWidth="true" hidden="false" outlineLevel="0" max="6" min="6" style="0" width="12"/>
  </cols>
  <sheetData>
    <row r="1" customFormat="false" ht="17.35" hidden="false" customHeight="false" outlineLevel="0" collapsed="false">
      <c r="A1" s="1" t="s">
        <v>289</v>
      </c>
    </row>
    <row r="2" customFormat="false" ht="15" hidden="false" customHeight="false" outlineLevel="0" collapsed="false">
      <c r="A2" s="2" t="s">
        <v>290</v>
      </c>
    </row>
    <row r="4" customFormat="false" ht="15" hidden="false" customHeight="false" outlineLevel="0" collapsed="false">
      <c r="A4" s="7" t="s">
        <v>291</v>
      </c>
      <c r="B4" s="7" t="s">
        <v>292</v>
      </c>
      <c r="C4" s="7" t="s">
        <v>293</v>
      </c>
      <c r="D4" s="7" t="s">
        <v>294</v>
      </c>
      <c r="E4" s="7" t="s">
        <v>295</v>
      </c>
      <c r="F4" s="7" t="s">
        <v>296</v>
      </c>
    </row>
    <row r="5" customFormat="false" ht="57.45" hidden="false" customHeight="false" outlineLevel="0" collapsed="false">
      <c r="A5" s="11" t="n">
        <v>1</v>
      </c>
      <c r="B5" s="15" t="s">
        <v>297</v>
      </c>
      <c r="C5" s="11" t="s">
        <v>298</v>
      </c>
      <c r="D5" s="11" t="s">
        <v>299</v>
      </c>
      <c r="E5" s="11" t="s">
        <v>300</v>
      </c>
      <c r="F5" s="11" t="s">
        <v>301</v>
      </c>
    </row>
    <row r="6" customFormat="false" ht="23.85" hidden="false" customHeight="false" outlineLevel="0" collapsed="false">
      <c r="A6" s="11" t="n">
        <v>2</v>
      </c>
      <c r="B6" s="15" t="s">
        <v>302</v>
      </c>
      <c r="C6" s="11" t="s">
        <v>303</v>
      </c>
      <c r="D6" s="11" t="s">
        <v>304</v>
      </c>
      <c r="E6" s="11" t="s">
        <v>305</v>
      </c>
      <c r="F6" s="11" t="s">
        <v>306</v>
      </c>
    </row>
    <row r="7" customFormat="false" ht="35.05" hidden="false" customHeight="false" outlineLevel="0" collapsed="false">
      <c r="A7" s="11" t="n">
        <v>3</v>
      </c>
      <c r="B7" s="15" t="s">
        <v>307</v>
      </c>
      <c r="C7" s="11" t="s">
        <v>308</v>
      </c>
      <c r="D7" s="11" t="s">
        <v>309</v>
      </c>
      <c r="E7" s="11" t="s">
        <v>305</v>
      </c>
      <c r="F7" s="11" t="s">
        <v>306</v>
      </c>
    </row>
    <row r="8" customFormat="false" ht="23.85" hidden="false" customHeight="false" outlineLevel="0" collapsed="false">
      <c r="A8" s="11" t="n">
        <v>4</v>
      </c>
      <c r="B8" s="15" t="s">
        <v>310</v>
      </c>
      <c r="C8" s="11" t="s">
        <v>311</v>
      </c>
      <c r="D8" s="11" t="s">
        <v>312</v>
      </c>
      <c r="E8" s="11" t="s">
        <v>300</v>
      </c>
      <c r="F8" s="11" t="s">
        <v>306</v>
      </c>
    </row>
    <row r="9" customFormat="false" ht="35.05" hidden="false" customHeight="false" outlineLevel="0" collapsed="false">
      <c r="A9" s="11" t="n">
        <v>5</v>
      </c>
      <c r="B9" s="15" t="s">
        <v>313</v>
      </c>
      <c r="C9" s="11" t="s">
        <v>314</v>
      </c>
      <c r="D9" s="11" t="s">
        <v>315</v>
      </c>
      <c r="E9" s="11" t="s">
        <v>300</v>
      </c>
      <c r="F9" s="11" t="s">
        <v>306</v>
      </c>
    </row>
    <row r="10" customFormat="false" ht="23.85" hidden="false" customHeight="false" outlineLevel="0" collapsed="false">
      <c r="A10" s="11" t="n">
        <v>6</v>
      </c>
      <c r="B10" s="15" t="s">
        <v>316</v>
      </c>
      <c r="C10" s="11" t="s">
        <v>317</v>
      </c>
      <c r="D10" s="11" t="s">
        <v>318</v>
      </c>
      <c r="E10" s="11" t="s">
        <v>305</v>
      </c>
      <c r="F10" s="11" t="s">
        <v>306</v>
      </c>
    </row>
    <row r="11" customFormat="false" ht="35.05" hidden="false" customHeight="false" outlineLevel="0" collapsed="false">
      <c r="A11" s="11" t="n">
        <v>7</v>
      </c>
      <c r="B11" s="15" t="s">
        <v>319</v>
      </c>
      <c r="C11" s="11" t="s">
        <v>320</v>
      </c>
      <c r="D11" s="11" t="s">
        <v>321</v>
      </c>
      <c r="E11" s="11" t="s">
        <v>322</v>
      </c>
      <c r="F11" s="11" t="s">
        <v>301</v>
      </c>
    </row>
    <row r="12" customFormat="false" ht="23.85" hidden="false" customHeight="false" outlineLevel="0" collapsed="false">
      <c r="A12" s="11" t="n">
        <v>8</v>
      </c>
      <c r="B12" s="15" t="s">
        <v>323</v>
      </c>
      <c r="C12" s="11" t="s">
        <v>324</v>
      </c>
      <c r="D12" s="11" t="s">
        <v>325</v>
      </c>
      <c r="E12" s="11" t="s">
        <v>305</v>
      </c>
      <c r="F12" s="11" t="s">
        <v>306</v>
      </c>
    </row>
    <row r="13" customFormat="false" ht="23.85" hidden="false" customHeight="false" outlineLevel="0" collapsed="false">
      <c r="A13" s="11" t="n">
        <v>9</v>
      </c>
      <c r="B13" s="15" t="s">
        <v>326</v>
      </c>
      <c r="C13" s="11" t="s">
        <v>327</v>
      </c>
      <c r="D13" s="11" t="s">
        <v>328</v>
      </c>
      <c r="E13" s="11" t="s">
        <v>322</v>
      </c>
      <c r="F13" s="11" t="s">
        <v>306</v>
      </c>
    </row>
    <row r="14" customFormat="false" ht="35.05" hidden="false" customHeight="false" outlineLevel="0" collapsed="false">
      <c r="A14" s="11" t="n">
        <v>10</v>
      </c>
      <c r="B14" s="15" t="s">
        <v>329</v>
      </c>
      <c r="C14" s="11" t="s">
        <v>330</v>
      </c>
      <c r="D14" s="11" t="s">
        <v>331</v>
      </c>
      <c r="E14" s="11" t="s">
        <v>300</v>
      </c>
      <c r="F14" s="11" t="s">
        <v>306</v>
      </c>
    </row>
    <row r="15" customFormat="false" ht="46.25" hidden="false" customHeight="false" outlineLevel="0" collapsed="false">
      <c r="A15" s="11" t="n">
        <v>11</v>
      </c>
      <c r="B15" s="15" t="s">
        <v>332</v>
      </c>
      <c r="C15" s="11" t="s">
        <v>333</v>
      </c>
      <c r="D15" s="11" t="s">
        <v>334</v>
      </c>
      <c r="E15" s="11" t="s">
        <v>322</v>
      </c>
      <c r="F15" s="11" t="s">
        <v>306</v>
      </c>
    </row>
    <row r="16" customFormat="false" ht="23.85" hidden="false" customHeight="false" outlineLevel="0" collapsed="false">
      <c r="A16" s="11" t="n">
        <v>12</v>
      </c>
      <c r="B16" s="15" t="s">
        <v>335</v>
      </c>
      <c r="C16" s="11" t="s">
        <v>336</v>
      </c>
      <c r="D16" s="11" t="s">
        <v>337</v>
      </c>
      <c r="E16" s="11" t="s">
        <v>305</v>
      </c>
      <c r="F16" s="11" t="s">
        <v>306</v>
      </c>
    </row>
    <row r="17" customFormat="false" ht="35.05" hidden="false" customHeight="false" outlineLevel="0" collapsed="false">
      <c r="A17" s="11" t="n">
        <v>13</v>
      </c>
      <c r="B17" s="15" t="s">
        <v>338</v>
      </c>
      <c r="C17" s="11" t="s">
        <v>339</v>
      </c>
      <c r="D17" s="11" t="s">
        <v>340</v>
      </c>
      <c r="E17" s="11" t="s">
        <v>305</v>
      </c>
      <c r="F17" s="11" t="s">
        <v>306</v>
      </c>
    </row>
    <row r="18" customFormat="false" ht="35.05" hidden="false" customHeight="false" outlineLevel="0" collapsed="false">
      <c r="A18" s="11" t="n">
        <v>14</v>
      </c>
      <c r="B18" s="15" t="s">
        <v>341</v>
      </c>
      <c r="C18" s="11" t="s">
        <v>342</v>
      </c>
      <c r="D18" s="11" t="s">
        <v>343</v>
      </c>
      <c r="E18" s="11" t="s">
        <v>300</v>
      </c>
      <c r="F18" s="11" t="s">
        <v>306</v>
      </c>
    </row>
    <row r="19" customFormat="false" ht="23.85" hidden="false" customHeight="false" outlineLevel="0" collapsed="false">
      <c r="A19" s="11" t="n">
        <v>15</v>
      </c>
      <c r="B19" s="15" t="s">
        <v>344</v>
      </c>
      <c r="C19" s="11" t="s">
        <v>345</v>
      </c>
      <c r="D19" s="11" t="s">
        <v>346</v>
      </c>
      <c r="E19" s="11" t="s">
        <v>305</v>
      </c>
      <c r="F19" s="11" t="s">
        <v>306</v>
      </c>
    </row>
    <row r="20" customFormat="false" ht="23.85" hidden="false" customHeight="false" outlineLevel="0" collapsed="false">
      <c r="A20" s="11" t="n">
        <v>16</v>
      </c>
      <c r="B20" s="15" t="s">
        <v>347</v>
      </c>
      <c r="C20" s="11" t="s">
        <v>348</v>
      </c>
      <c r="D20" s="11" t="s">
        <v>349</v>
      </c>
      <c r="E20" s="11" t="s">
        <v>305</v>
      </c>
      <c r="F20" s="11" t="s">
        <v>306</v>
      </c>
    </row>
    <row r="21" customFormat="false" ht="23.85" hidden="false" customHeight="false" outlineLevel="0" collapsed="false">
      <c r="A21" s="11" t="n">
        <v>17</v>
      </c>
      <c r="B21" s="15" t="s">
        <v>350</v>
      </c>
      <c r="C21" s="11" t="s">
        <v>351</v>
      </c>
      <c r="D21" s="11" t="s">
        <v>352</v>
      </c>
      <c r="E21" s="11" t="s">
        <v>305</v>
      </c>
      <c r="F21" s="11" t="s">
        <v>306</v>
      </c>
    </row>
    <row r="22" customFormat="false" ht="35.05" hidden="false" customHeight="false" outlineLevel="0" collapsed="false">
      <c r="A22" s="11" t="n">
        <v>18</v>
      </c>
      <c r="B22" s="15" t="s">
        <v>353</v>
      </c>
      <c r="C22" s="11" t="s">
        <v>354</v>
      </c>
      <c r="D22" s="11" t="s">
        <v>355</v>
      </c>
      <c r="E22" s="11" t="s">
        <v>322</v>
      </c>
      <c r="F22" s="11" t="s">
        <v>306</v>
      </c>
    </row>
    <row r="23" customFormat="false" ht="46.25" hidden="false" customHeight="false" outlineLevel="0" collapsed="false">
      <c r="A23" s="11" t="n">
        <v>19</v>
      </c>
      <c r="B23" s="15" t="s">
        <v>356</v>
      </c>
      <c r="C23" s="11" t="s">
        <v>357</v>
      </c>
      <c r="D23" s="11" t="s">
        <v>358</v>
      </c>
      <c r="E23" s="11" t="s">
        <v>300</v>
      </c>
      <c r="F23" s="11" t="s">
        <v>306</v>
      </c>
    </row>
    <row r="24" customFormat="false" ht="57.45" hidden="false" customHeight="false" outlineLevel="0" collapsed="false">
      <c r="A24" s="11" t="n">
        <v>20</v>
      </c>
      <c r="B24" s="15" t="s">
        <v>359</v>
      </c>
      <c r="C24" s="11" t="s">
        <v>360</v>
      </c>
      <c r="D24" s="11" t="s">
        <v>361</v>
      </c>
      <c r="E24" s="11" t="s">
        <v>300</v>
      </c>
      <c r="F24" s="11" t="s">
        <v>301</v>
      </c>
    </row>
    <row r="26" customFormat="false" ht="15" hidden="false" customHeight="false" outlineLevel="0" collapsed="false">
      <c r="A26" s="3" t="s">
        <v>362</v>
      </c>
    </row>
    <row r="27" customFormat="false" ht="15" hidden="false" customHeight="false" outlineLevel="0" collapsed="false">
      <c r="A27" s="13" t="s">
        <v>363</v>
      </c>
    </row>
    <row r="28" customFormat="false" ht="15" hidden="false" customHeight="false" outlineLevel="0" collapsed="false">
      <c r="A28" s="13" t="s">
        <v>364</v>
      </c>
    </row>
    <row r="29" customFormat="false" ht="15" hidden="false" customHeight="false" outlineLevel="0" collapsed="false">
      <c r="A29" s="13" t="s">
        <v>365</v>
      </c>
    </row>
    <row r="31" customFormat="false" ht="15" hidden="false" customHeight="false" outlineLevel="0" collapsed="false">
      <c r="A31" s="3" t="s">
        <v>366</v>
      </c>
      <c r="B31" s="3" t="n">
        <f aca="false">COUNTIF(F5:F24,"Open")</f>
        <v>17</v>
      </c>
    </row>
  </sheetData>
  <dataValidations count="1">
    <dataValidation allowBlank="true" errorStyle="stop" operator="between" showDropDown="false" showErrorMessage="false" showInputMessage="false" sqref="F5:F24" type="list">
      <formula1>"Open,In progress,Done"</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A7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16"/>
    <col collapsed="false" customWidth="true" hidden="false" outlineLevel="0" max="3" min="3" style="0" width="24"/>
    <col collapsed="false" customWidth="true" hidden="false" outlineLevel="0" max="4" min="4" style="0" width="7"/>
    <col collapsed="false" customWidth="true" hidden="false" outlineLevel="0" max="5" min="5" style="0" width="18"/>
    <col collapsed="false" customWidth="true" hidden="false" outlineLevel="0" max="6" min="6" style="0" width="7"/>
    <col collapsed="false" customWidth="true" hidden="false" outlineLevel="0" max="7" min="7" style="0" width="22"/>
    <col collapsed="false" customWidth="true" hidden="false" outlineLevel="0" max="8" min="8" style="0" width="14"/>
    <col collapsed="false" customWidth="true" hidden="false" outlineLevel="0" max="9" min="9" style="0" width="48"/>
    <col collapsed="false" customWidth="true" hidden="false" outlineLevel="0" max="10" min="10" style="0" width="30"/>
    <col collapsed="false" customWidth="true" hidden="false" outlineLevel="0" max="11" min="11" style="0" width="9"/>
    <col collapsed="false" customWidth="true" hidden="false" outlineLevel="0" max="13" min="12" style="0" width="12"/>
    <col collapsed="false" customWidth="true" hidden="false" outlineLevel="0" max="14" min="14" style="0" width="24"/>
    <col collapsed="false" customWidth="true" hidden="false" outlineLevel="0" max="15" min="15" style="0" width="14"/>
    <col collapsed="false" customWidth="true" hidden="false" outlineLevel="0" max="16" min="16" style="0" width="22"/>
    <col collapsed="false" customWidth="true" hidden="false" outlineLevel="0" max="17" min="17" style="0" width="20"/>
    <col collapsed="false" customWidth="true" hidden="false" outlineLevel="0" max="18" min="18" style="0" width="34"/>
    <col collapsed="false" customWidth="true" hidden="false" outlineLevel="0" max="19" min="19" style="0" width="12"/>
    <col collapsed="false" customWidth="true" hidden="false" outlineLevel="0" max="26" min="20" style="0" width="30"/>
    <col collapsed="false" customWidth="true" hidden="false" outlineLevel="0" max="27" min="27" style="0" width="40"/>
  </cols>
  <sheetData>
    <row r="1" customFormat="false" ht="52.2" hidden="false" customHeight="false" outlineLevel="0" collapsed="false">
      <c r="A1" s="7" t="s">
        <v>367</v>
      </c>
      <c r="B1" s="7" t="s">
        <v>50</v>
      </c>
      <c r="C1" s="7" t="s">
        <v>368</v>
      </c>
      <c r="D1" s="7" t="s">
        <v>369</v>
      </c>
      <c r="E1" s="7" t="s">
        <v>370</v>
      </c>
      <c r="F1" s="7" t="s">
        <v>174</v>
      </c>
      <c r="G1" s="7" t="s">
        <v>371</v>
      </c>
      <c r="H1" s="7" t="s">
        <v>372</v>
      </c>
      <c r="I1" s="7" t="s">
        <v>373</v>
      </c>
      <c r="J1" s="7" t="s">
        <v>374</v>
      </c>
      <c r="K1" s="7" t="s">
        <v>375</v>
      </c>
      <c r="L1" s="7" t="s">
        <v>376</v>
      </c>
      <c r="M1" s="7" t="s">
        <v>377</v>
      </c>
      <c r="N1" s="7" t="s">
        <v>378</v>
      </c>
      <c r="O1" s="7" t="s">
        <v>270</v>
      </c>
      <c r="P1" s="7" t="s">
        <v>379</v>
      </c>
      <c r="Q1" s="7" t="s">
        <v>176</v>
      </c>
      <c r="R1" s="7" t="s">
        <v>380</v>
      </c>
      <c r="S1" s="7" t="s">
        <v>175</v>
      </c>
      <c r="T1" s="7" t="s">
        <v>381</v>
      </c>
      <c r="U1" s="7" t="s">
        <v>382</v>
      </c>
      <c r="V1" s="7" t="s">
        <v>383</v>
      </c>
      <c r="W1" s="7" t="s">
        <v>384</v>
      </c>
      <c r="X1" s="7" t="s">
        <v>385</v>
      </c>
      <c r="Y1" s="7" t="s">
        <v>386</v>
      </c>
      <c r="Z1" s="7" t="s">
        <v>387</v>
      </c>
      <c r="AA1" s="7" t="s">
        <v>53</v>
      </c>
    </row>
    <row r="2" customFormat="false" ht="15" hidden="false" customHeight="false" outlineLevel="0" collapsed="false">
      <c r="A2" s="11" t="s">
        <v>388</v>
      </c>
      <c r="B2" s="11" t="s">
        <v>3</v>
      </c>
      <c r="C2" s="11" t="s">
        <v>389</v>
      </c>
      <c r="D2" s="11" t="n">
        <v>1987</v>
      </c>
      <c r="E2" s="11" t="s">
        <v>390</v>
      </c>
      <c r="F2" s="11" t="s">
        <v>179</v>
      </c>
      <c r="G2" s="11" t="s">
        <v>391</v>
      </c>
      <c r="H2" s="11" t="s">
        <v>8</v>
      </c>
      <c r="I2" s="11" t="s">
        <v>392</v>
      </c>
      <c r="J2" s="11" t="s">
        <v>47</v>
      </c>
      <c r="K2" s="11" t="n">
        <v>25</v>
      </c>
      <c r="L2" s="11" t="str">
        <f aca="false">IF(K2="","Unknown",IF(K2&lt;18,"Under 18",IF(K2&lt;25,"18-24",IF(K2&lt;35,"25-34",IF(K2&lt;45,"35-44",IF(K2&lt;55,"45-54","55+"))))))</f>
        <v>25-34</v>
      </c>
      <c r="M2" s="11"/>
      <c r="N2" s="11"/>
      <c r="O2" s="11" t="s">
        <v>259</v>
      </c>
      <c r="P2" s="11"/>
      <c r="Q2" s="11" t="s">
        <v>47</v>
      </c>
      <c r="R2" s="11"/>
      <c r="S2" s="11" t="str">
        <f aca="false">IFERROR(VLOOKUP(F2,Locations!$I$5:$J$60,2,FALSE()),"Not mapped")</f>
        <v>Northeast</v>
      </c>
      <c r="T2" s="11"/>
      <c r="U2" s="11"/>
      <c r="V2" s="11"/>
      <c r="W2" s="11"/>
      <c r="X2" s="11"/>
      <c r="Y2" s="11"/>
      <c r="Z2" s="11"/>
      <c r="AA2" s="12" t="s">
        <v>73</v>
      </c>
    </row>
    <row r="3" customFormat="false" ht="15" hidden="false" customHeight="false" outlineLevel="0" collapsed="false">
      <c r="A3" s="11" t="s">
        <v>393</v>
      </c>
      <c r="B3" s="11" t="s">
        <v>3</v>
      </c>
      <c r="C3" s="11" t="s">
        <v>394</v>
      </c>
      <c r="D3" s="11" t="n">
        <v>1989</v>
      </c>
      <c r="E3" s="11" t="s">
        <v>390</v>
      </c>
      <c r="F3" s="11" t="s">
        <v>179</v>
      </c>
      <c r="G3" s="11" t="s">
        <v>391</v>
      </c>
      <c r="H3" s="11" t="s">
        <v>265</v>
      </c>
      <c r="I3" s="11"/>
      <c r="J3" s="11" t="s">
        <v>47</v>
      </c>
      <c r="K3" s="11" t="n">
        <v>24</v>
      </c>
      <c r="L3" s="11" t="str">
        <f aca="false">IF(K3="","Unknown",IF(K3&lt;18,"Under 18",IF(K3&lt;25,"18-24",IF(K3&lt;35,"25-34",IF(K3&lt;45,"35-44",IF(K3&lt;55,"45-54","55+"))))))</f>
        <v>18-24</v>
      </c>
      <c r="M3" s="11"/>
      <c r="N3" s="11"/>
      <c r="O3" s="11" t="s">
        <v>265</v>
      </c>
      <c r="P3" s="11"/>
      <c r="Q3" s="11" t="s">
        <v>47</v>
      </c>
      <c r="R3" s="11"/>
      <c r="S3" s="11" t="str">
        <f aca="false">IFERROR(VLOOKUP(F3,Locations!$I$5:$J$60,2,FALSE()),"Not mapped")</f>
        <v>Northeast</v>
      </c>
      <c r="T3" s="11"/>
      <c r="U3" s="11"/>
      <c r="V3" s="11"/>
      <c r="W3" s="11"/>
      <c r="X3" s="11"/>
      <c r="Y3" s="11"/>
      <c r="Z3" s="11"/>
      <c r="AA3" s="12" t="s">
        <v>77</v>
      </c>
    </row>
    <row r="4" customFormat="false" ht="15" hidden="false" customHeight="false" outlineLevel="0" collapsed="false">
      <c r="A4" s="11" t="s">
        <v>395</v>
      </c>
      <c r="B4" s="11" t="s">
        <v>3</v>
      </c>
      <c r="C4" s="11" t="s">
        <v>396</v>
      </c>
      <c r="D4" s="11" t="n">
        <v>1990</v>
      </c>
      <c r="E4" s="11" t="s">
        <v>397</v>
      </c>
      <c r="F4" s="11" t="s">
        <v>217</v>
      </c>
      <c r="G4" s="11" t="s">
        <v>391</v>
      </c>
      <c r="H4" s="11" t="s">
        <v>265</v>
      </c>
      <c r="I4" s="11"/>
      <c r="J4" s="11" t="s">
        <v>47</v>
      </c>
      <c r="K4" s="11" t="n">
        <v>22</v>
      </c>
      <c r="L4" s="11" t="str">
        <f aca="false">IF(K4="","Unknown",IF(K4&lt;18,"Under 18",IF(K4&lt;25,"18-24",IF(K4&lt;35,"25-34",IF(K4&lt;45,"35-44",IF(K4&lt;55,"45-54","55+"))))))</f>
        <v>18-24</v>
      </c>
      <c r="M4" s="11"/>
      <c r="N4" s="11"/>
      <c r="O4" s="11" t="s">
        <v>265</v>
      </c>
      <c r="P4" s="11"/>
      <c r="Q4" s="11" t="s">
        <v>47</v>
      </c>
      <c r="R4" s="11"/>
      <c r="S4" s="11" t="str">
        <f aca="false">IFERROR(VLOOKUP(F4,Locations!$I$5:$J$60,2,FALSE()),"Not mapped")</f>
        <v>South</v>
      </c>
      <c r="T4" s="11"/>
      <c r="U4" s="11"/>
      <c r="V4" s="11"/>
      <c r="W4" s="11"/>
      <c r="X4" s="11"/>
      <c r="Y4" s="11"/>
      <c r="Z4" s="11"/>
      <c r="AA4" s="12" t="s">
        <v>77</v>
      </c>
    </row>
    <row r="5" customFormat="false" ht="15" hidden="false" customHeight="false" outlineLevel="0" collapsed="false">
      <c r="A5" s="11" t="s">
        <v>398</v>
      </c>
      <c r="B5" s="11" t="s">
        <v>3</v>
      </c>
      <c r="C5" s="11" t="s">
        <v>399</v>
      </c>
      <c r="D5" s="11" t="n">
        <v>1993</v>
      </c>
      <c r="E5" s="11" t="s">
        <v>400</v>
      </c>
      <c r="F5" s="11" t="s">
        <v>241</v>
      </c>
      <c r="G5" s="11" t="s">
        <v>391</v>
      </c>
      <c r="H5" s="11" t="s">
        <v>265</v>
      </c>
      <c r="I5" s="11"/>
      <c r="J5" s="11" t="s">
        <v>47</v>
      </c>
      <c r="K5" s="11" t="n">
        <v>20</v>
      </c>
      <c r="L5" s="11" t="str">
        <f aca="false">IF(K5="","Unknown",IF(K5&lt;18,"Under 18",IF(K5&lt;25,"18-24",IF(K5&lt;35,"25-34",IF(K5&lt;45,"35-44",IF(K5&lt;55,"45-54","55+"))))))</f>
        <v>18-24</v>
      </c>
      <c r="M5" s="11"/>
      <c r="N5" s="11"/>
      <c r="O5" s="11" t="s">
        <v>259</v>
      </c>
      <c r="P5" s="11"/>
      <c r="Q5" s="11" t="s">
        <v>47</v>
      </c>
      <c r="R5" s="11"/>
      <c r="S5" s="11" t="str">
        <f aca="false">IFERROR(VLOOKUP(F5,Locations!$I$5:$J$60,2,FALSE()),"Not mapped")</f>
        <v>West</v>
      </c>
      <c r="T5" s="11"/>
      <c r="U5" s="11"/>
      <c r="V5" s="11"/>
      <c r="W5" s="11"/>
      <c r="X5" s="11"/>
      <c r="Y5" s="11"/>
      <c r="Z5" s="11"/>
      <c r="AA5" s="12" t="s">
        <v>77</v>
      </c>
    </row>
    <row r="6" customFormat="false" ht="15" hidden="false" customHeight="false" outlineLevel="0" collapsed="false">
      <c r="A6" s="11" t="s">
        <v>401</v>
      </c>
      <c r="B6" s="11" t="s">
        <v>3</v>
      </c>
      <c r="C6" s="11" t="s">
        <v>402</v>
      </c>
      <c r="D6" s="11" t="n">
        <v>1995</v>
      </c>
      <c r="E6" s="11" t="s">
        <v>390</v>
      </c>
      <c r="F6" s="11" t="s">
        <v>179</v>
      </c>
      <c r="G6" s="11" t="s">
        <v>391</v>
      </c>
      <c r="H6" s="11" t="s">
        <v>265</v>
      </c>
      <c r="I6" s="11"/>
      <c r="J6" s="11" t="s">
        <v>47</v>
      </c>
      <c r="K6" s="11" t="n">
        <v>27</v>
      </c>
      <c r="L6" s="11" t="str">
        <f aca="false">IF(K6="","Unknown",IF(K6&lt;18,"Under 18",IF(K6&lt;25,"18-24",IF(K6&lt;35,"25-34",IF(K6&lt;45,"35-44",IF(K6&lt;55,"45-54","55+"))))))</f>
        <v>25-34</v>
      </c>
      <c r="M6" s="11"/>
      <c r="N6" s="11"/>
      <c r="O6" s="11" t="s">
        <v>259</v>
      </c>
      <c r="P6" s="11"/>
      <c r="Q6" s="11" t="s">
        <v>47</v>
      </c>
      <c r="R6" s="11"/>
      <c r="S6" s="11" t="str">
        <f aca="false">IFERROR(VLOOKUP(F6,Locations!$I$5:$J$60,2,FALSE()),"Not mapped")</f>
        <v>Northeast</v>
      </c>
      <c r="T6" s="11"/>
      <c r="U6" s="11"/>
      <c r="V6" s="11"/>
      <c r="W6" s="11"/>
      <c r="X6" s="11"/>
      <c r="Y6" s="11"/>
      <c r="Z6" s="11"/>
      <c r="AA6" s="12" t="s">
        <v>77</v>
      </c>
    </row>
    <row r="7" customFormat="false" ht="15" hidden="false" customHeight="false" outlineLevel="0" collapsed="false">
      <c r="A7" s="11" t="s">
        <v>403</v>
      </c>
      <c r="B7" s="11" t="s">
        <v>3</v>
      </c>
      <c r="C7" s="11" t="s">
        <v>399</v>
      </c>
      <c r="D7" s="11" t="n">
        <v>1996</v>
      </c>
      <c r="E7" s="11" t="s">
        <v>404</v>
      </c>
      <c r="F7" s="11" t="s">
        <v>241</v>
      </c>
      <c r="G7" s="11" t="s">
        <v>391</v>
      </c>
      <c r="H7" s="11" t="s">
        <v>265</v>
      </c>
      <c r="I7" s="11"/>
      <c r="J7" s="11" t="s">
        <v>47</v>
      </c>
      <c r="K7" s="11" t="n">
        <v>26</v>
      </c>
      <c r="L7" s="11" t="str">
        <f aca="false">IF(K7="","Unknown",IF(K7&lt;18,"Under 18",IF(K7&lt;25,"18-24",IF(K7&lt;35,"25-34",IF(K7&lt;45,"35-44",IF(K7&lt;55,"45-54","55+"))))))</f>
        <v>25-34</v>
      </c>
      <c r="M7" s="11"/>
      <c r="N7" s="11"/>
      <c r="O7" s="11" t="s">
        <v>259</v>
      </c>
      <c r="P7" s="11"/>
      <c r="Q7" s="11" t="s">
        <v>47</v>
      </c>
      <c r="R7" s="11"/>
      <c r="S7" s="11" t="str">
        <f aca="false">IFERROR(VLOOKUP(F7,Locations!$I$5:$J$60,2,FALSE()),"Not mapped")</f>
        <v>West</v>
      </c>
      <c r="T7" s="11"/>
      <c r="U7" s="11"/>
      <c r="V7" s="11"/>
      <c r="W7" s="11"/>
      <c r="X7" s="11"/>
      <c r="Y7" s="11"/>
      <c r="Z7" s="11"/>
      <c r="AA7" s="12" t="s">
        <v>77</v>
      </c>
    </row>
    <row r="8" customFormat="false" ht="23.85" hidden="false" customHeight="false" outlineLevel="0" collapsed="false">
      <c r="A8" s="11" t="s">
        <v>272</v>
      </c>
      <c r="B8" s="11" t="s">
        <v>3</v>
      </c>
      <c r="C8" s="11" t="s">
        <v>399</v>
      </c>
      <c r="D8" s="11" t="n">
        <v>1996</v>
      </c>
      <c r="E8" s="11" t="s">
        <v>405</v>
      </c>
      <c r="F8" s="11" t="s">
        <v>242</v>
      </c>
      <c r="G8" s="11" t="s">
        <v>406</v>
      </c>
      <c r="H8" s="11" t="s">
        <v>6</v>
      </c>
      <c r="I8" s="11" t="s">
        <v>407</v>
      </c>
      <c r="J8" s="11" t="s">
        <v>37</v>
      </c>
      <c r="K8" s="11" t="n">
        <v>25</v>
      </c>
      <c r="L8" s="11" t="str">
        <f aca="false">IF(K8="","Unknown",IF(K8&lt;18,"Under 18",IF(K8&lt;25,"18-24",IF(K8&lt;35,"25-34",IF(K8&lt;45,"35-44",IF(K8&lt;55,"45-54","55+"))))))</f>
        <v>25-34</v>
      </c>
      <c r="M8" s="11" t="n">
        <v>33</v>
      </c>
      <c r="N8" s="11"/>
      <c r="O8" s="11" t="s">
        <v>259</v>
      </c>
      <c r="P8" s="11" t="s">
        <v>259</v>
      </c>
      <c r="Q8" s="11" t="s">
        <v>189</v>
      </c>
      <c r="R8" s="11" t="s">
        <v>408</v>
      </c>
      <c r="S8" s="11" t="str">
        <f aca="false">IFERROR(VLOOKUP(F8,Locations!$I$5:$J$60,2,FALSE()),"Not mapped")</f>
        <v>West</v>
      </c>
      <c r="T8" s="11"/>
      <c r="U8" s="11"/>
      <c r="V8" s="11" t="s">
        <v>409</v>
      </c>
      <c r="W8" s="11"/>
      <c r="X8" s="11"/>
      <c r="Y8" s="11"/>
      <c r="Z8" s="11"/>
      <c r="AA8" s="12" t="s">
        <v>410</v>
      </c>
    </row>
    <row r="9" customFormat="false" ht="15" hidden="false" customHeight="false" outlineLevel="0" collapsed="false">
      <c r="A9" s="11" t="s">
        <v>411</v>
      </c>
      <c r="B9" s="11" t="s">
        <v>3</v>
      </c>
      <c r="C9" s="11" t="s">
        <v>399</v>
      </c>
      <c r="D9" s="11" t="n">
        <v>1997</v>
      </c>
      <c r="E9" s="11" t="s">
        <v>412</v>
      </c>
      <c r="F9" s="11" t="s">
        <v>241</v>
      </c>
      <c r="G9" s="11" t="s">
        <v>406</v>
      </c>
      <c r="H9" s="11" t="s">
        <v>8</v>
      </c>
      <c r="I9" s="11"/>
      <c r="J9" s="11" t="s">
        <v>47</v>
      </c>
      <c r="K9" s="11" t="n">
        <v>24</v>
      </c>
      <c r="L9" s="11" t="str">
        <f aca="false">IF(K9="","Unknown",IF(K9&lt;18,"Under 18",IF(K9&lt;25,"18-24",IF(K9&lt;35,"25-34",IF(K9&lt;45,"35-44",IF(K9&lt;55,"45-54","55+"))))))</f>
        <v>18-24</v>
      </c>
      <c r="M9" s="11"/>
      <c r="N9" s="11"/>
      <c r="O9" s="11" t="s">
        <v>259</v>
      </c>
      <c r="P9" s="11"/>
      <c r="Q9" s="11" t="s">
        <v>189</v>
      </c>
      <c r="R9" s="11" t="s">
        <v>413</v>
      </c>
      <c r="S9" s="11" t="str">
        <f aca="false">IFERROR(VLOOKUP(F9,Locations!$I$5:$J$60,2,FALSE()),"Not mapped")</f>
        <v>West</v>
      </c>
      <c r="T9" s="11"/>
      <c r="U9" s="11"/>
      <c r="V9" s="11"/>
      <c r="W9" s="11"/>
      <c r="X9" s="11"/>
      <c r="Y9" s="11"/>
      <c r="Z9" s="11"/>
      <c r="AA9" s="12" t="s">
        <v>73</v>
      </c>
    </row>
    <row r="10" customFormat="false" ht="15" hidden="false" customHeight="false" outlineLevel="0" collapsed="false">
      <c r="A10" s="11" t="s">
        <v>414</v>
      </c>
      <c r="B10" s="11" t="s">
        <v>3</v>
      </c>
      <c r="C10" s="11" t="s">
        <v>399</v>
      </c>
      <c r="D10" s="11" t="n">
        <v>1998</v>
      </c>
      <c r="E10" s="11" t="s">
        <v>415</v>
      </c>
      <c r="F10" s="11" t="s">
        <v>217</v>
      </c>
      <c r="G10" s="11" t="s">
        <v>391</v>
      </c>
      <c r="H10" s="11" t="s">
        <v>265</v>
      </c>
      <c r="I10" s="11"/>
      <c r="J10" s="11" t="s">
        <v>47</v>
      </c>
      <c r="K10" s="11" t="n">
        <v>27</v>
      </c>
      <c r="L10" s="11" t="str">
        <f aca="false">IF(K10="","Unknown",IF(K10&lt;18,"Under 18",IF(K10&lt;25,"18-24",IF(K10&lt;35,"25-34",IF(K10&lt;45,"35-44",IF(K10&lt;55,"45-54","55+"))))))</f>
        <v>25-34</v>
      </c>
      <c r="M10" s="11"/>
      <c r="N10" s="11"/>
      <c r="O10" s="11" t="s">
        <v>259</v>
      </c>
      <c r="P10" s="11"/>
      <c r="Q10" s="11" t="s">
        <v>47</v>
      </c>
      <c r="R10" s="11"/>
      <c r="S10" s="11" t="str">
        <f aca="false">IFERROR(VLOOKUP(F10,Locations!$I$5:$J$60,2,FALSE()),"Not mapped")</f>
        <v>South</v>
      </c>
      <c r="T10" s="11"/>
      <c r="U10" s="11"/>
      <c r="V10" s="11"/>
      <c r="W10" s="11"/>
      <c r="X10" s="11"/>
      <c r="Y10" s="11"/>
      <c r="Z10" s="11"/>
      <c r="AA10" s="12" t="s">
        <v>77</v>
      </c>
    </row>
    <row r="11" customFormat="false" ht="15" hidden="false" customHeight="false" outlineLevel="0" collapsed="false">
      <c r="A11" s="11" t="s">
        <v>416</v>
      </c>
      <c r="B11" s="11" t="s">
        <v>3</v>
      </c>
      <c r="C11" s="11" t="s">
        <v>399</v>
      </c>
      <c r="D11" s="11" t="n">
        <v>1999</v>
      </c>
      <c r="E11" s="11" t="s">
        <v>390</v>
      </c>
      <c r="F11" s="11" t="s">
        <v>179</v>
      </c>
      <c r="G11" s="11" t="s">
        <v>406</v>
      </c>
      <c r="H11" s="11" t="s">
        <v>8</v>
      </c>
      <c r="I11" s="11"/>
      <c r="J11" s="11" t="s">
        <v>47</v>
      </c>
      <c r="K11" s="11" t="n">
        <v>24</v>
      </c>
      <c r="L11" s="11" t="str">
        <f aca="false">IF(K11="","Unknown",IF(K11&lt;18,"Under 18",IF(K11&lt;25,"18-24",IF(K11&lt;35,"25-34",IF(K11&lt;45,"35-44",IF(K11&lt;55,"45-54","55+"))))))</f>
        <v>18-24</v>
      </c>
      <c r="M11" s="11"/>
      <c r="N11" s="11"/>
      <c r="O11" s="11" t="s">
        <v>259</v>
      </c>
      <c r="P11" s="11"/>
      <c r="Q11" s="11" t="s">
        <v>187</v>
      </c>
      <c r="R11" s="11" t="s">
        <v>417</v>
      </c>
      <c r="S11" s="11" t="str">
        <f aca="false">IFERROR(VLOOKUP(F11,Locations!$I$5:$J$60,2,FALSE()),"Not mapped")</f>
        <v>Northeast</v>
      </c>
      <c r="T11" s="11"/>
      <c r="U11" s="11"/>
      <c r="V11" s="11"/>
      <c r="W11" s="11"/>
      <c r="X11" s="11"/>
      <c r="Y11" s="11"/>
      <c r="Z11" s="11"/>
      <c r="AA11" s="12" t="s">
        <v>73</v>
      </c>
    </row>
    <row r="12" customFormat="false" ht="15" hidden="false" customHeight="false" outlineLevel="0" collapsed="false">
      <c r="A12" s="11" t="s">
        <v>418</v>
      </c>
      <c r="B12" s="11" t="s">
        <v>3</v>
      </c>
      <c r="C12" s="11" t="s">
        <v>399</v>
      </c>
      <c r="D12" s="11" t="n">
        <v>2000</v>
      </c>
      <c r="E12" s="11" t="s">
        <v>419</v>
      </c>
      <c r="F12" s="11" t="s">
        <v>243</v>
      </c>
      <c r="G12" s="11" t="s">
        <v>420</v>
      </c>
      <c r="H12" s="11" t="s">
        <v>8</v>
      </c>
      <c r="I12" s="11" t="s">
        <v>421</v>
      </c>
      <c r="J12" s="11" t="s">
        <v>47</v>
      </c>
      <c r="K12" s="11" t="n">
        <v>25</v>
      </c>
      <c r="L12" s="11" t="str">
        <f aca="false">IF(K12="","Unknown",IF(K12&lt;18,"Under 18",IF(K12&lt;25,"18-24",IF(K12&lt;35,"25-34",IF(K12&lt;45,"35-44",IF(K12&lt;55,"45-54","55+"))))))</f>
        <v>25-34</v>
      </c>
      <c r="M12" s="11"/>
      <c r="N12" s="11"/>
      <c r="O12" s="11" t="s">
        <v>265</v>
      </c>
      <c r="P12" s="11"/>
      <c r="Q12" s="11" t="s">
        <v>191</v>
      </c>
      <c r="R12" s="11" t="s">
        <v>422</v>
      </c>
      <c r="S12" s="11" t="str">
        <f aca="false">IFERROR(VLOOKUP(F12,Locations!$I$5:$J$60,2,FALSE()),"Not mapped")</f>
        <v>West</v>
      </c>
      <c r="T12" s="11"/>
      <c r="U12" s="11"/>
      <c r="V12" s="11"/>
      <c r="W12" s="11"/>
      <c r="X12" s="11"/>
      <c r="Y12" s="11"/>
      <c r="Z12" s="11"/>
      <c r="AA12" s="12" t="s">
        <v>423</v>
      </c>
    </row>
    <row r="13" customFormat="false" ht="15" hidden="false" customHeight="false" outlineLevel="0" collapsed="false">
      <c r="A13" s="11" t="s">
        <v>424</v>
      </c>
      <c r="B13" s="11" t="s">
        <v>3</v>
      </c>
      <c r="C13" s="11" t="s">
        <v>425</v>
      </c>
      <c r="D13" s="11" t="n">
        <v>2001</v>
      </c>
      <c r="E13" s="11" t="s">
        <v>426</v>
      </c>
      <c r="F13" s="11" t="s">
        <v>218</v>
      </c>
      <c r="G13" s="11" t="s">
        <v>391</v>
      </c>
      <c r="H13" s="11" t="s">
        <v>265</v>
      </c>
      <c r="I13" s="11"/>
      <c r="J13" s="11" t="s">
        <v>47</v>
      </c>
      <c r="K13" s="11" t="n">
        <v>32</v>
      </c>
      <c r="L13" s="11" t="str">
        <f aca="false">IF(K13="","Unknown",IF(K13&lt;18,"Under 18",IF(K13&lt;25,"18-24",IF(K13&lt;35,"25-34",IF(K13&lt;45,"35-44",IF(K13&lt;55,"45-54","55+"))))))</f>
        <v>25-34</v>
      </c>
      <c r="M13" s="11"/>
      <c r="N13" s="11"/>
      <c r="O13" s="11" t="s">
        <v>259</v>
      </c>
      <c r="P13" s="11"/>
      <c r="Q13" s="11" t="s">
        <v>47</v>
      </c>
      <c r="R13" s="11"/>
      <c r="S13" s="11" t="str">
        <f aca="false">IFERROR(VLOOKUP(F13,Locations!$I$5:$J$60,2,FALSE()),"Not mapped")</f>
        <v>South</v>
      </c>
      <c r="T13" s="11"/>
      <c r="U13" s="11"/>
      <c r="V13" s="11"/>
      <c r="W13" s="11"/>
      <c r="X13" s="11"/>
      <c r="Y13" s="11"/>
      <c r="Z13" s="11"/>
      <c r="AA13" s="12" t="s">
        <v>77</v>
      </c>
    </row>
    <row r="14" customFormat="false" ht="35.05" hidden="false" customHeight="false" outlineLevel="0" collapsed="false">
      <c r="A14" s="11" t="s">
        <v>427</v>
      </c>
      <c r="B14" s="11" t="s">
        <v>3</v>
      </c>
      <c r="C14" s="11" t="s">
        <v>428</v>
      </c>
      <c r="D14" s="11" t="n">
        <v>2002</v>
      </c>
      <c r="E14" s="11" t="s">
        <v>390</v>
      </c>
      <c r="F14" s="11" t="s">
        <v>179</v>
      </c>
      <c r="G14" s="11" t="s">
        <v>391</v>
      </c>
      <c r="H14" s="11" t="s">
        <v>6</v>
      </c>
      <c r="I14" s="11" t="s">
        <v>429</v>
      </c>
      <c r="J14" s="11" t="s">
        <v>39</v>
      </c>
      <c r="K14" s="11" t="n">
        <v>37</v>
      </c>
      <c r="L14" s="11" t="str">
        <f aca="false">IF(K14="","Unknown",IF(K14&lt;18,"Under 18",IF(K14&lt;25,"18-24",IF(K14&lt;35,"25-34",IF(K14&lt;45,"35-44",IF(K14&lt;55,"45-54","55+"))))))</f>
        <v>35-44</v>
      </c>
      <c r="M14" s="11"/>
      <c r="N14" s="11"/>
      <c r="O14" s="11" t="s">
        <v>259</v>
      </c>
      <c r="P14" s="11"/>
      <c r="Q14" s="11" t="s">
        <v>197</v>
      </c>
      <c r="R14" s="11" t="s">
        <v>430</v>
      </c>
      <c r="S14" s="11" t="str">
        <f aca="false">IFERROR(VLOOKUP(F14,Locations!$I$5:$J$60,2,FALSE()),"Not mapped")</f>
        <v>Northeast</v>
      </c>
      <c r="T14" s="11"/>
      <c r="U14" s="11"/>
      <c r="V14" s="11"/>
      <c r="W14" s="11" t="s">
        <v>431</v>
      </c>
      <c r="X14" s="11"/>
      <c r="Y14" s="11"/>
      <c r="Z14" s="11"/>
      <c r="AA14" s="12" t="s">
        <v>432</v>
      </c>
    </row>
    <row r="15" customFormat="false" ht="15" hidden="false" customHeight="false" outlineLevel="0" collapsed="false">
      <c r="A15" s="11" t="s">
        <v>433</v>
      </c>
      <c r="B15" s="11" t="s">
        <v>3</v>
      </c>
      <c r="C15" s="11" t="s">
        <v>399</v>
      </c>
      <c r="D15" s="11" t="n">
        <v>2003</v>
      </c>
      <c r="E15" s="11" t="s">
        <v>434</v>
      </c>
      <c r="F15" s="11" t="s">
        <v>219</v>
      </c>
      <c r="G15" s="11" t="s">
        <v>391</v>
      </c>
      <c r="H15" s="11" t="s">
        <v>265</v>
      </c>
      <c r="I15" s="11"/>
      <c r="J15" s="11" t="s">
        <v>47</v>
      </c>
      <c r="K15" s="11" t="n">
        <v>21</v>
      </c>
      <c r="L15" s="11" t="str">
        <f aca="false">IF(K15="","Unknown",IF(K15&lt;18,"Under 18",IF(K15&lt;25,"18-24",IF(K15&lt;35,"25-34",IF(K15&lt;45,"35-44",IF(K15&lt;55,"45-54","55+"))))))</f>
        <v>18-24</v>
      </c>
      <c r="M15" s="11"/>
      <c r="N15" s="11"/>
      <c r="O15" s="11" t="s">
        <v>259</v>
      </c>
      <c r="P15" s="11"/>
      <c r="Q15" s="11" t="s">
        <v>197</v>
      </c>
      <c r="R15" s="11" t="s">
        <v>435</v>
      </c>
      <c r="S15" s="11" t="str">
        <f aca="false">IFERROR(VLOOKUP(F15,Locations!$I$5:$J$60,2,FALSE()),"Not mapped")</f>
        <v>South</v>
      </c>
      <c r="T15" s="11"/>
      <c r="U15" s="11"/>
      <c r="V15" s="11"/>
      <c r="W15" s="11"/>
      <c r="X15" s="11"/>
      <c r="Y15" s="11"/>
      <c r="Z15" s="11"/>
      <c r="AA15" s="12" t="s">
        <v>77</v>
      </c>
    </row>
    <row r="16" customFormat="false" ht="15" hidden="false" customHeight="false" outlineLevel="0" collapsed="false">
      <c r="A16" s="11" t="s">
        <v>436</v>
      </c>
      <c r="B16" s="11" t="s">
        <v>3</v>
      </c>
      <c r="C16" s="11" t="s">
        <v>399</v>
      </c>
      <c r="D16" s="11" t="n">
        <v>2003</v>
      </c>
      <c r="E16" s="11" t="s">
        <v>437</v>
      </c>
      <c r="F16" s="11" t="s">
        <v>221</v>
      </c>
      <c r="G16" s="11" t="s">
        <v>391</v>
      </c>
      <c r="H16" s="11" t="s">
        <v>265</v>
      </c>
      <c r="I16" s="11"/>
      <c r="J16" s="11" t="s">
        <v>47</v>
      </c>
      <c r="K16" s="11" t="n">
        <v>26</v>
      </c>
      <c r="L16" s="11" t="str">
        <f aca="false">IF(K16="","Unknown",IF(K16&lt;18,"Under 18",IF(K16&lt;25,"18-24",IF(K16&lt;35,"25-34",IF(K16&lt;45,"35-44",IF(K16&lt;55,"45-54","55+"))))))</f>
        <v>25-34</v>
      </c>
      <c r="M16" s="11"/>
      <c r="N16" s="11"/>
      <c r="O16" s="11" t="s">
        <v>259</v>
      </c>
      <c r="P16" s="11"/>
      <c r="Q16" s="11" t="s">
        <v>47</v>
      </c>
      <c r="R16" s="11"/>
      <c r="S16" s="11" t="str">
        <f aca="false">IFERROR(VLOOKUP(F16,Locations!$I$5:$J$60,2,FALSE()),"Not mapped")</f>
        <v>South</v>
      </c>
      <c r="T16" s="11"/>
      <c r="U16" s="11"/>
      <c r="V16" s="11"/>
      <c r="W16" s="11"/>
      <c r="X16" s="11"/>
      <c r="Y16" s="11"/>
      <c r="Z16" s="11"/>
      <c r="AA16" s="12" t="s">
        <v>77</v>
      </c>
    </row>
    <row r="17" customFormat="false" ht="15" hidden="false" customHeight="false" outlineLevel="0" collapsed="false">
      <c r="A17" s="11" t="s">
        <v>438</v>
      </c>
      <c r="B17" s="11" t="s">
        <v>3</v>
      </c>
      <c r="C17" s="11" t="s">
        <v>399</v>
      </c>
      <c r="D17" s="11" t="n">
        <v>2004</v>
      </c>
      <c r="E17" s="11" t="s">
        <v>439</v>
      </c>
      <c r="F17" s="11" t="s">
        <v>201</v>
      </c>
      <c r="G17" s="11" t="s">
        <v>391</v>
      </c>
      <c r="H17" s="11" t="s">
        <v>8</v>
      </c>
      <c r="I17" s="11"/>
      <c r="J17" s="11" t="s">
        <v>47</v>
      </c>
      <c r="K17" s="11" t="n">
        <v>34</v>
      </c>
      <c r="L17" s="11" t="str">
        <f aca="false">IF(K17="","Unknown",IF(K17&lt;18,"Under 18",IF(K17&lt;25,"18-24",IF(K17&lt;35,"25-34",IF(K17&lt;45,"35-44",IF(K17&lt;55,"45-54","55+"))))))</f>
        <v>25-34</v>
      </c>
      <c r="M17" s="11"/>
      <c r="N17" s="11"/>
      <c r="O17" s="11" t="s">
        <v>259</v>
      </c>
      <c r="P17" s="11"/>
      <c r="Q17" s="11" t="s">
        <v>189</v>
      </c>
      <c r="R17" s="11" t="s">
        <v>440</v>
      </c>
      <c r="S17" s="11" t="str">
        <f aca="false">IFERROR(VLOOKUP(F17,Locations!$I$5:$J$60,2,FALSE()),"Not mapped")</f>
        <v>Midwest</v>
      </c>
      <c r="T17" s="11"/>
      <c r="U17" s="11"/>
      <c r="V17" s="11"/>
      <c r="W17" s="11"/>
      <c r="X17" s="11"/>
      <c r="Y17" s="11"/>
      <c r="Z17" s="11"/>
      <c r="AA17" s="12" t="s">
        <v>73</v>
      </c>
    </row>
    <row r="18" customFormat="false" ht="15" hidden="false" customHeight="false" outlineLevel="0" collapsed="false">
      <c r="A18" s="11" t="s">
        <v>441</v>
      </c>
      <c r="B18" s="11" t="s">
        <v>3</v>
      </c>
      <c r="C18" s="11" t="s">
        <v>442</v>
      </c>
      <c r="D18" s="11" t="n">
        <v>2006</v>
      </c>
      <c r="E18" s="11" t="s">
        <v>443</v>
      </c>
      <c r="F18" s="11" t="s">
        <v>202</v>
      </c>
      <c r="G18" s="11" t="s">
        <v>391</v>
      </c>
      <c r="H18" s="11" t="s">
        <v>265</v>
      </c>
      <c r="I18" s="11"/>
      <c r="J18" s="11" t="s">
        <v>47</v>
      </c>
      <c r="K18" s="11" t="n">
        <v>32</v>
      </c>
      <c r="L18" s="11" t="str">
        <f aca="false">IF(K18="","Unknown",IF(K18&lt;18,"Under 18",IF(K18&lt;25,"18-24",IF(K18&lt;35,"25-34",IF(K18&lt;45,"35-44",IF(K18&lt;55,"45-54","55+"))))))</f>
        <v>25-34</v>
      </c>
      <c r="M18" s="11"/>
      <c r="N18" s="11"/>
      <c r="O18" s="11" t="s">
        <v>259</v>
      </c>
      <c r="P18" s="11"/>
      <c r="Q18" s="11" t="s">
        <v>183</v>
      </c>
      <c r="R18" s="11" t="s">
        <v>444</v>
      </c>
      <c r="S18" s="11" t="str">
        <f aca="false">IFERROR(VLOOKUP(F18,Locations!$I$5:$J$60,2,FALSE()),"Not mapped")</f>
        <v>Midwest</v>
      </c>
      <c r="T18" s="11"/>
      <c r="U18" s="11"/>
      <c r="V18" s="11"/>
      <c r="W18" s="11"/>
      <c r="X18" s="11"/>
      <c r="Y18" s="11"/>
      <c r="Z18" s="11"/>
      <c r="AA18" s="12" t="s">
        <v>77</v>
      </c>
    </row>
    <row r="19" customFormat="false" ht="15" hidden="false" customHeight="false" outlineLevel="0" collapsed="false">
      <c r="A19" s="11" t="s">
        <v>445</v>
      </c>
      <c r="B19" s="11" t="s">
        <v>3</v>
      </c>
      <c r="C19" s="11" t="s">
        <v>399</v>
      </c>
      <c r="D19" s="11" t="n">
        <v>2006</v>
      </c>
      <c r="E19" s="11" t="s">
        <v>415</v>
      </c>
      <c r="F19" s="11" t="s">
        <v>217</v>
      </c>
      <c r="G19" s="11" t="s">
        <v>391</v>
      </c>
      <c r="H19" s="11" t="s">
        <v>265</v>
      </c>
      <c r="I19" s="11"/>
      <c r="J19" s="11" t="s">
        <v>47</v>
      </c>
      <c r="K19" s="11" t="n">
        <v>36</v>
      </c>
      <c r="L19" s="11" t="str">
        <f aca="false">IF(K19="","Unknown",IF(K19&lt;18,"Under 18",IF(K19&lt;25,"18-24",IF(K19&lt;35,"25-34",IF(K19&lt;45,"35-44",IF(K19&lt;55,"45-54","55+"))))))</f>
        <v>35-44</v>
      </c>
      <c r="M19" s="11"/>
      <c r="N19" s="11"/>
      <c r="O19" s="11" t="s">
        <v>259</v>
      </c>
      <c r="P19" s="11"/>
      <c r="Q19" s="11" t="s">
        <v>47</v>
      </c>
      <c r="R19" s="11"/>
      <c r="S19" s="11" t="str">
        <f aca="false">IFERROR(VLOOKUP(F19,Locations!$I$5:$J$60,2,FALSE()),"Not mapped")</f>
        <v>South</v>
      </c>
      <c r="T19" s="11"/>
      <c r="U19" s="11"/>
      <c r="V19" s="11"/>
      <c r="W19" s="11"/>
      <c r="X19" s="11"/>
      <c r="Y19" s="11"/>
      <c r="Z19" s="11"/>
      <c r="AA19" s="12" t="s">
        <v>77</v>
      </c>
    </row>
    <row r="20" customFormat="false" ht="23.85" hidden="false" customHeight="false" outlineLevel="0" collapsed="false">
      <c r="A20" s="11" t="s">
        <v>446</v>
      </c>
      <c r="B20" s="11" t="s">
        <v>3</v>
      </c>
      <c r="C20" s="11" t="s">
        <v>399</v>
      </c>
      <c r="D20" s="11" t="n">
        <v>2009</v>
      </c>
      <c r="E20" s="11" t="s">
        <v>412</v>
      </c>
      <c r="F20" s="11" t="s">
        <v>241</v>
      </c>
      <c r="G20" s="11" t="s">
        <v>391</v>
      </c>
      <c r="H20" s="11" t="s">
        <v>265</v>
      </c>
      <c r="I20" s="11"/>
      <c r="J20" s="11" t="s">
        <v>47</v>
      </c>
      <c r="K20" s="11" t="n">
        <v>21</v>
      </c>
      <c r="L20" s="11" t="str">
        <f aca="false">IF(K20="","Unknown",IF(K20&lt;18,"Under 18",IF(K20&lt;25,"18-24",IF(K20&lt;35,"25-34",IF(K20&lt;45,"35-44",IF(K20&lt;55,"45-54","55+"))))))</f>
        <v>18-24</v>
      </c>
      <c r="M20" s="11"/>
      <c r="N20" s="11"/>
      <c r="O20" s="11" t="s">
        <v>259</v>
      </c>
      <c r="P20" s="11"/>
      <c r="Q20" s="11" t="s">
        <v>193</v>
      </c>
      <c r="R20" s="11" t="s">
        <v>447</v>
      </c>
      <c r="S20" s="11" t="str">
        <f aca="false">IFERROR(VLOOKUP(F20,Locations!$I$5:$J$60,2,FALSE()),"Not mapped")</f>
        <v>West</v>
      </c>
      <c r="T20" s="11"/>
      <c r="U20" s="11"/>
      <c r="V20" s="11"/>
      <c r="W20" s="11"/>
      <c r="X20" s="11"/>
      <c r="Y20" s="11"/>
      <c r="Z20" s="11"/>
      <c r="AA20" s="12" t="s">
        <v>77</v>
      </c>
    </row>
    <row r="21" customFormat="false" ht="15" hidden="false" customHeight="false" outlineLevel="0" collapsed="false">
      <c r="A21" s="11" t="s">
        <v>448</v>
      </c>
      <c r="B21" s="11" t="s">
        <v>3</v>
      </c>
      <c r="C21" s="11" t="s">
        <v>449</v>
      </c>
      <c r="D21" s="11" t="n">
        <v>2010</v>
      </c>
      <c r="E21" s="11" t="s">
        <v>437</v>
      </c>
      <c r="F21" s="11" t="s">
        <v>221</v>
      </c>
      <c r="G21" s="11" t="s">
        <v>391</v>
      </c>
      <c r="H21" s="11" t="s">
        <v>265</v>
      </c>
      <c r="I21" s="11"/>
      <c r="J21" s="11" t="s">
        <v>47</v>
      </c>
      <c r="K21" s="11" t="n">
        <v>22</v>
      </c>
      <c r="L21" s="11" t="str">
        <f aca="false">IF(K21="","Unknown",IF(K21&lt;18,"Under 18",IF(K21&lt;25,"18-24",IF(K21&lt;35,"25-34",IF(K21&lt;45,"35-44",IF(K21&lt;55,"45-54","55+"))))))</f>
        <v>18-24</v>
      </c>
      <c r="M21" s="11"/>
      <c r="N21" s="11"/>
      <c r="O21" s="11" t="s">
        <v>259</v>
      </c>
      <c r="P21" s="11"/>
      <c r="Q21" s="11" t="s">
        <v>187</v>
      </c>
      <c r="R21" s="11" t="s">
        <v>450</v>
      </c>
      <c r="S21" s="11" t="str">
        <f aca="false">IFERROR(VLOOKUP(F21,Locations!$I$5:$J$60,2,FALSE()),"Not mapped")</f>
        <v>South</v>
      </c>
      <c r="T21" s="11"/>
      <c r="U21" s="11"/>
      <c r="V21" s="11"/>
      <c r="W21" s="11"/>
      <c r="X21" s="11"/>
      <c r="Y21" s="11"/>
      <c r="Z21" s="11"/>
      <c r="AA21" s="12" t="s">
        <v>77</v>
      </c>
    </row>
    <row r="22" customFormat="false" ht="15" hidden="false" customHeight="false" outlineLevel="0" collapsed="false">
      <c r="A22" s="11" t="s">
        <v>451</v>
      </c>
      <c r="B22" s="11" t="s">
        <v>3</v>
      </c>
      <c r="C22" s="11" t="s">
        <v>449</v>
      </c>
      <c r="D22" s="11" t="n">
        <v>2010</v>
      </c>
      <c r="E22" s="11" t="s">
        <v>437</v>
      </c>
      <c r="F22" s="11" t="s">
        <v>221</v>
      </c>
      <c r="G22" s="11" t="s">
        <v>391</v>
      </c>
      <c r="H22" s="11" t="s">
        <v>265</v>
      </c>
      <c r="I22" s="11"/>
      <c r="J22" s="11" t="s">
        <v>47</v>
      </c>
      <c r="K22" s="11" t="n">
        <v>28</v>
      </c>
      <c r="L22" s="11" t="str">
        <f aca="false">IF(K22="","Unknown",IF(K22&lt;18,"Under 18",IF(K22&lt;25,"18-24",IF(K22&lt;35,"25-34",IF(K22&lt;45,"35-44",IF(K22&lt;55,"45-54","55+"))))))</f>
        <v>25-34</v>
      </c>
      <c r="M22" s="11"/>
      <c r="N22" s="11"/>
      <c r="O22" s="11" t="s">
        <v>259</v>
      </c>
      <c r="P22" s="11"/>
      <c r="Q22" s="11" t="s">
        <v>47</v>
      </c>
      <c r="R22" s="11"/>
      <c r="S22" s="11" t="str">
        <f aca="false">IFERROR(VLOOKUP(F22,Locations!$I$5:$J$60,2,FALSE()),"Not mapped")</f>
        <v>South</v>
      </c>
      <c r="T22" s="11"/>
      <c r="U22" s="11"/>
      <c r="V22" s="11"/>
      <c r="W22" s="11"/>
      <c r="X22" s="11"/>
      <c r="Y22" s="11"/>
      <c r="Z22" s="11"/>
      <c r="AA22" s="12" t="s">
        <v>77</v>
      </c>
    </row>
    <row r="23" customFormat="false" ht="23.85" hidden="false" customHeight="false" outlineLevel="0" collapsed="false">
      <c r="A23" s="11" t="s">
        <v>452</v>
      </c>
      <c r="B23" s="11" t="s">
        <v>3</v>
      </c>
      <c r="C23" s="11" t="s">
        <v>453</v>
      </c>
      <c r="D23" s="11" t="n">
        <v>2012</v>
      </c>
      <c r="E23" s="11" t="s">
        <v>454</v>
      </c>
      <c r="F23" s="11" t="s">
        <v>198</v>
      </c>
      <c r="G23" s="11" t="s">
        <v>391</v>
      </c>
      <c r="H23" s="11" t="s">
        <v>265</v>
      </c>
      <c r="I23" s="11"/>
      <c r="J23" s="11" t="s">
        <v>37</v>
      </c>
      <c r="K23" s="11" t="n">
        <v>18</v>
      </c>
      <c r="L23" s="11" t="str">
        <f aca="false">IF(K23="","Unknown",IF(K23&lt;18,"Under 18",IF(K23&lt;25,"18-24",IF(K23&lt;35,"25-34",IF(K23&lt;45,"35-44",IF(K23&lt;55,"45-54","55+"))))))</f>
        <v>18-24</v>
      </c>
      <c r="M23" s="11"/>
      <c r="N23" s="11"/>
      <c r="O23" s="11" t="s">
        <v>259</v>
      </c>
      <c r="P23" s="11"/>
      <c r="Q23" s="11" t="s">
        <v>187</v>
      </c>
      <c r="R23" s="11" t="s">
        <v>455</v>
      </c>
      <c r="S23" s="11" t="str">
        <f aca="false">IFERROR(VLOOKUP(F23,Locations!$I$5:$J$60,2,FALSE()),"Not mapped")</f>
        <v>Midwest</v>
      </c>
      <c r="T23" s="11"/>
      <c r="U23" s="11"/>
      <c r="V23" s="11"/>
      <c r="W23" s="11"/>
      <c r="X23" s="11"/>
      <c r="Y23" s="11"/>
      <c r="Z23" s="11"/>
      <c r="AA23" s="12" t="s">
        <v>77</v>
      </c>
    </row>
    <row r="24" customFormat="false" ht="15" hidden="false" customHeight="false" outlineLevel="0" collapsed="false">
      <c r="A24" s="11" t="s">
        <v>456</v>
      </c>
      <c r="B24" s="11" t="s">
        <v>3</v>
      </c>
      <c r="C24" s="11" t="s">
        <v>399</v>
      </c>
      <c r="D24" s="11" t="n">
        <v>2013</v>
      </c>
      <c r="E24" s="11" t="s">
        <v>457</v>
      </c>
      <c r="F24" s="11" t="s">
        <v>221</v>
      </c>
      <c r="G24" s="11" t="s">
        <v>391</v>
      </c>
      <c r="H24" s="11" t="s">
        <v>265</v>
      </c>
      <c r="I24" s="11"/>
      <c r="J24" s="11" t="s">
        <v>47</v>
      </c>
      <c r="K24" s="11" t="n">
        <v>18</v>
      </c>
      <c r="L24" s="11" t="str">
        <f aca="false">IF(K24="","Unknown",IF(K24&lt;18,"Under 18",IF(K24&lt;25,"18-24",IF(K24&lt;35,"25-34",IF(K24&lt;45,"35-44",IF(K24&lt;55,"45-54","55+"))))))</f>
        <v>18-24</v>
      </c>
      <c r="M24" s="11"/>
      <c r="N24" s="11"/>
      <c r="O24" s="11" t="s">
        <v>259</v>
      </c>
      <c r="P24" s="11"/>
      <c r="Q24" s="11" t="s">
        <v>47</v>
      </c>
      <c r="R24" s="11"/>
      <c r="S24" s="11" t="str">
        <f aca="false">IFERROR(VLOOKUP(F24,Locations!$I$5:$J$60,2,FALSE()),"Not mapped")</f>
        <v>South</v>
      </c>
      <c r="T24" s="11"/>
      <c r="U24" s="11"/>
      <c r="V24" s="11"/>
      <c r="W24" s="11"/>
      <c r="X24" s="11"/>
      <c r="Y24" s="11"/>
      <c r="Z24" s="11"/>
      <c r="AA24" s="12" t="s">
        <v>77</v>
      </c>
    </row>
    <row r="25" customFormat="false" ht="15" hidden="false" customHeight="false" outlineLevel="0" collapsed="false">
      <c r="A25" s="11" t="s">
        <v>458</v>
      </c>
      <c r="B25" s="11" t="s">
        <v>3</v>
      </c>
      <c r="C25" s="11" t="s">
        <v>399</v>
      </c>
      <c r="D25" s="11" t="n">
        <v>2015</v>
      </c>
      <c r="E25" s="11" t="s">
        <v>404</v>
      </c>
      <c r="F25" s="11" t="s">
        <v>241</v>
      </c>
      <c r="G25" s="11" t="s">
        <v>391</v>
      </c>
      <c r="H25" s="11" t="s">
        <v>265</v>
      </c>
      <c r="I25" s="11"/>
      <c r="J25" s="11" t="s">
        <v>47</v>
      </c>
      <c r="K25" s="11" t="n">
        <v>37</v>
      </c>
      <c r="L25" s="11" t="str">
        <f aca="false">IF(K25="","Unknown",IF(K25&lt;18,"Under 18",IF(K25&lt;25,"18-24",IF(K25&lt;35,"25-34",IF(K25&lt;45,"35-44",IF(K25&lt;55,"45-54","55+"))))))</f>
        <v>35-44</v>
      </c>
      <c r="M25" s="11"/>
      <c r="N25" s="11"/>
      <c r="O25" s="11" t="s">
        <v>259</v>
      </c>
      <c r="P25" s="11"/>
      <c r="Q25" s="11" t="s">
        <v>47</v>
      </c>
      <c r="R25" s="11"/>
      <c r="S25" s="11" t="str">
        <f aca="false">IFERROR(VLOOKUP(F25,Locations!$I$5:$J$60,2,FALSE()),"Not mapped")</f>
        <v>West</v>
      </c>
      <c r="T25" s="11"/>
      <c r="U25" s="11"/>
      <c r="V25" s="11"/>
      <c r="W25" s="11"/>
      <c r="X25" s="11"/>
      <c r="Y25" s="11"/>
      <c r="Z25" s="11"/>
      <c r="AA25" s="12" t="s">
        <v>77</v>
      </c>
    </row>
    <row r="26" customFormat="false" ht="15" hidden="false" customHeight="false" outlineLevel="0" collapsed="false">
      <c r="A26" s="11" t="s">
        <v>459</v>
      </c>
      <c r="B26" s="11" t="s">
        <v>3</v>
      </c>
      <c r="C26" s="11" t="s">
        <v>399</v>
      </c>
      <c r="D26" s="11" t="n">
        <v>2015</v>
      </c>
      <c r="E26" s="11" t="s">
        <v>390</v>
      </c>
      <c r="F26" s="11" t="s">
        <v>179</v>
      </c>
      <c r="G26" s="11" t="s">
        <v>391</v>
      </c>
      <c r="H26" s="11" t="s">
        <v>265</v>
      </c>
      <c r="I26" s="11"/>
      <c r="J26" s="11" t="s">
        <v>47</v>
      </c>
      <c r="K26" s="11" t="n">
        <v>31</v>
      </c>
      <c r="L26" s="11" t="str">
        <f aca="false">IF(K26="","Unknown",IF(K26&lt;18,"Under 18",IF(K26&lt;25,"18-24",IF(K26&lt;35,"25-34",IF(K26&lt;45,"35-44",IF(K26&lt;55,"45-54","55+"))))))</f>
        <v>25-34</v>
      </c>
      <c r="M26" s="11"/>
      <c r="N26" s="11"/>
      <c r="O26" s="11" t="s">
        <v>259</v>
      </c>
      <c r="P26" s="11"/>
      <c r="Q26" s="11" t="s">
        <v>47</v>
      </c>
      <c r="R26" s="11"/>
      <c r="S26" s="11" t="str">
        <f aca="false">IFERROR(VLOOKUP(F26,Locations!$I$5:$J$60,2,FALSE()),"Not mapped")</f>
        <v>Northeast</v>
      </c>
      <c r="T26" s="11"/>
      <c r="U26" s="11"/>
      <c r="V26" s="11"/>
      <c r="W26" s="11"/>
      <c r="X26" s="11"/>
      <c r="Y26" s="11"/>
      <c r="Z26" s="11"/>
      <c r="AA26" s="12" t="s">
        <v>77</v>
      </c>
    </row>
    <row r="27" customFormat="false" ht="23.85" hidden="false" customHeight="false" outlineLevel="0" collapsed="false">
      <c r="A27" s="11" t="s">
        <v>460</v>
      </c>
      <c r="B27" s="11" t="s">
        <v>3</v>
      </c>
      <c r="C27" s="11" t="s">
        <v>453</v>
      </c>
      <c r="D27" s="11" t="n">
        <v>2015</v>
      </c>
      <c r="E27" s="11" t="s">
        <v>454</v>
      </c>
      <c r="F27" s="11" t="s">
        <v>198</v>
      </c>
      <c r="G27" s="11" t="s">
        <v>391</v>
      </c>
      <c r="H27" s="11" t="s">
        <v>265</v>
      </c>
      <c r="I27" s="11"/>
      <c r="J27" s="11" t="s">
        <v>37</v>
      </c>
      <c r="K27" s="11" t="n">
        <v>19</v>
      </c>
      <c r="L27" s="11" t="str">
        <f aca="false">IF(K27="","Unknown",IF(K27&lt;18,"Under 18",IF(K27&lt;25,"18-24",IF(K27&lt;35,"25-34",IF(K27&lt;45,"35-44",IF(K27&lt;55,"45-54","55+"))))))</f>
        <v>18-24</v>
      </c>
      <c r="M27" s="11"/>
      <c r="N27" s="11" t="s">
        <v>461</v>
      </c>
      <c r="O27" s="11" t="s">
        <v>259</v>
      </c>
      <c r="P27" s="11"/>
      <c r="Q27" s="11" t="s">
        <v>47</v>
      </c>
      <c r="R27" s="11"/>
      <c r="S27" s="11" t="str">
        <f aca="false">IFERROR(VLOOKUP(F27,Locations!$I$5:$J$60,2,FALSE()),"Not mapped")</f>
        <v>Midwest</v>
      </c>
      <c r="T27" s="11"/>
      <c r="U27" s="11" t="s">
        <v>462</v>
      </c>
      <c r="V27" s="11"/>
      <c r="W27" s="11"/>
      <c r="X27" s="11"/>
      <c r="Y27" s="11"/>
      <c r="Z27" s="11"/>
      <c r="AA27" s="12" t="s">
        <v>77</v>
      </c>
    </row>
    <row r="28" customFormat="false" ht="15" hidden="false" customHeight="false" outlineLevel="0" collapsed="false">
      <c r="A28" s="11" t="s">
        <v>463</v>
      </c>
      <c r="B28" s="11" t="s">
        <v>3</v>
      </c>
      <c r="C28" s="11" t="s">
        <v>399</v>
      </c>
      <c r="D28" s="11" t="n">
        <v>2015</v>
      </c>
      <c r="E28" s="11" t="s">
        <v>464</v>
      </c>
      <c r="F28" s="11" t="s">
        <v>227</v>
      </c>
      <c r="G28" s="11" t="s">
        <v>465</v>
      </c>
      <c r="H28" s="11" t="s">
        <v>8</v>
      </c>
      <c r="I28" s="11" t="s">
        <v>466</v>
      </c>
      <c r="J28" s="11" t="s">
        <v>47</v>
      </c>
      <c r="K28" s="11" t="n">
        <v>36</v>
      </c>
      <c r="L28" s="11" t="str">
        <f aca="false">IF(K28="","Unknown",IF(K28&lt;18,"Under 18",IF(K28&lt;25,"18-24",IF(K28&lt;35,"25-34",IF(K28&lt;45,"35-44",IF(K28&lt;55,"45-54","55+"))))))</f>
        <v>35-44</v>
      </c>
      <c r="M28" s="11"/>
      <c r="N28" s="11"/>
      <c r="O28" s="11" t="s">
        <v>265</v>
      </c>
      <c r="P28" s="11"/>
      <c r="Q28" s="11" t="s">
        <v>187</v>
      </c>
      <c r="R28" s="11" t="s">
        <v>467</v>
      </c>
      <c r="S28" s="11" t="str">
        <f aca="false">IFERROR(VLOOKUP(F28,Locations!$I$5:$J$60,2,FALSE()),"Not mapped")</f>
        <v>South</v>
      </c>
      <c r="T28" s="11"/>
      <c r="U28" s="11"/>
      <c r="V28" s="11"/>
      <c r="W28" s="11"/>
      <c r="X28" s="11"/>
      <c r="Y28" s="11"/>
      <c r="Z28" s="11" t="s">
        <v>468</v>
      </c>
      <c r="AA28" s="12" t="s">
        <v>469</v>
      </c>
    </row>
    <row r="29" customFormat="false" ht="15" hidden="false" customHeight="false" outlineLevel="0" collapsed="false">
      <c r="A29" s="11" t="s">
        <v>470</v>
      </c>
      <c r="B29" s="11" t="s">
        <v>3</v>
      </c>
      <c r="C29" s="11" t="s">
        <v>399</v>
      </c>
      <c r="D29" s="11" t="n">
        <v>2016</v>
      </c>
      <c r="E29" s="11" t="s">
        <v>471</v>
      </c>
      <c r="F29" s="11" t="s">
        <v>219</v>
      </c>
      <c r="G29" s="11" t="s">
        <v>391</v>
      </c>
      <c r="H29" s="11" t="s">
        <v>265</v>
      </c>
      <c r="I29" s="11"/>
      <c r="J29" s="11" t="s">
        <v>47</v>
      </c>
      <c r="K29" s="11" t="n">
        <v>28</v>
      </c>
      <c r="L29" s="11" t="str">
        <f aca="false">IF(K29="","Unknown",IF(K29&lt;18,"Under 18",IF(K29&lt;25,"18-24",IF(K29&lt;35,"25-34",IF(K29&lt;45,"35-44",IF(K29&lt;55,"45-54","55+"))))))</f>
        <v>25-34</v>
      </c>
      <c r="M29" s="11"/>
      <c r="N29" s="11"/>
      <c r="O29" s="11" t="s">
        <v>259</v>
      </c>
      <c r="P29" s="11"/>
      <c r="Q29" s="11" t="s">
        <v>47</v>
      </c>
      <c r="R29" s="11"/>
      <c r="S29" s="11" t="str">
        <f aca="false">IFERROR(VLOOKUP(F29,Locations!$I$5:$J$60,2,FALSE()),"Not mapped")</f>
        <v>South</v>
      </c>
      <c r="T29" s="11"/>
      <c r="U29" s="11"/>
      <c r="V29" s="11"/>
      <c r="W29" s="11"/>
      <c r="X29" s="11"/>
      <c r="Y29" s="11"/>
      <c r="Z29" s="11"/>
      <c r="AA29" s="12" t="s">
        <v>77</v>
      </c>
    </row>
    <row r="30" customFormat="false" ht="15" hidden="false" customHeight="false" outlineLevel="0" collapsed="false">
      <c r="A30" s="11" t="s">
        <v>472</v>
      </c>
      <c r="B30" s="11" t="s">
        <v>3</v>
      </c>
      <c r="C30" s="11" t="s">
        <v>399</v>
      </c>
      <c r="D30" s="11" t="n">
        <v>2016</v>
      </c>
      <c r="E30" s="11" t="s">
        <v>415</v>
      </c>
      <c r="F30" s="11" t="s">
        <v>217</v>
      </c>
      <c r="G30" s="11" t="s">
        <v>391</v>
      </c>
      <c r="H30" s="11" t="s">
        <v>265</v>
      </c>
      <c r="I30" s="11"/>
      <c r="J30" s="11" t="s">
        <v>47</v>
      </c>
      <c r="K30" s="11" t="n">
        <v>44</v>
      </c>
      <c r="L30" s="11" t="str">
        <f aca="false">IF(K30="","Unknown",IF(K30&lt;18,"Under 18",IF(K30&lt;25,"18-24",IF(K30&lt;35,"25-34",IF(K30&lt;45,"35-44",IF(K30&lt;55,"45-54","55+"))))))</f>
        <v>35-44</v>
      </c>
      <c r="M30" s="11"/>
      <c r="N30" s="11"/>
      <c r="O30" s="11" t="s">
        <v>259</v>
      </c>
      <c r="P30" s="11"/>
      <c r="Q30" s="11" t="s">
        <v>47</v>
      </c>
      <c r="R30" s="11"/>
      <c r="S30" s="11" t="str">
        <f aca="false">IFERROR(VLOOKUP(F30,Locations!$I$5:$J$60,2,FALSE()),"Not mapped")</f>
        <v>South</v>
      </c>
      <c r="T30" s="11"/>
      <c r="U30" s="11"/>
      <c r="V30" s="11"/>
      <c r="W30" s="11"/>
      <c r="X30" s="11"/>
      <c r="Y30" s="11"/>
      <c r="Z30" s="11"/>
      <c r="AA30" s="12" t="s">
        <v>77</v>
      </c>
    </row>
    <row r="31" customFormat="false" ht="23.85" hidden="false" customHeight="false" outlineLevel="0" collapsed="false">
      <c r="A31" s="11" t="s">
        <v>473</v>
      </c>
      <c r="B31" s="11" t="s">
        <v>3</v>
      </c>
      <c r="C31" s="11" t="s">
        <v>399</v>
      </c>
      <c r="D31" s="11" t="n">
        <v>2018</v>
      </c>
      <c r="E31" s="11" t="s">
        <v>474</v>
      </c>
      <c r="F31" s="11" t="s">
        <v>218</v>
      </c>
      <c r="G31" s="11" t="s">
        <v>475</v>
      </c>
      <c r="H31" s="11" t="s">
        <v>6</v>
      </c>
      <c r="I31" s="11" t="s">
        <v>476</v>
      </c>
      <c r="J31" s="11" t="s">
        <v>38</v>
      </c>
      <c r="K31" s="11" t="n">
        <v>20</v>
      </c>
      <c r="L31" s="11" t="str">
        <f aca="false">IF(K31="","Unknown",IF(K31&lt;18,"Under 18",IF(K31&lt;25,"18-24",IF(K31&lt;35,"25-34",IF(K31&lt;45,"35-44",IF(K31&lt;55,"45-54","55+"))))))</f>
        <v>18-24</v>
      </c>
      <c r="M31" s="11"/>
      <c r="N31" s="11"/>
      <c r="O31" s="11" t="s">
        <v>259</v>
      </c>
      <c r="P31" s="11"/>
      <c r="Q31" s="11" t="s">
        <v>189</v>
      </c>
      <c r="R31" s="11" t="s">
        <v>477</v>
      </c>
      <c r="S31" s="11" t="str">
        <f aca="false">IFERROR(VLOOKUP(F31,Locations!$I$5:$J$60,2,FALSE()),"Not mapped")</f>
        <v>South</v>
      </c>
      <c r="T31" s="11"/>
      <c r="U31" s="11"/>
      <c r="V31" s="11"/>
      <c r="W31" s="11"/>
      <c r="X31" s="11"/>
      <c r="Y31" s="11"/>
      <c r="Z31" s="11"/>
      <c r="AA31" s="12" t="s">
        <v>478</v>
      </c>
    </row>
    <row r="32" customFormat="false" ht="15" hidden="false" customHeight="false" outlineLevel="0" collapsed="false">
      <c r="A32" s="11" t="s">
        <v>479</v>
      </c>
      <c r="B32" s="11" t="s">
        <v>3</v>
      </c>
      <c r="C32" s="11" t="s">
        <v>399</v>
      </c>
      <c r="D32" s="11" t="n">
        <v>2018</v>
      </c>
      <c r="E32" s="11" t="s">
        <v>480</v>
      </c>
      <c r="F32" s="11" t="s">
        <v>182</v>
      </c>
      <c r="G32" s="11" t="s">
        <v>391</v>
      </c>
      <c r="H32" s="11" t="s">
        <v>265</v>
      </c>
      <c r="I32" s="11"/>
      <c r="J32" s="11" t="s">
        <v>47</v>
      </c>
      <c r="K32" s="11" t="n">
        <v>21</v>
      </c>
      <c r="L32" s="11" t="str">
        <f aca="false">IF(K32="","Unknown",IF(K32&lt;18,"Under 18",IF(K32&lt;25,"18-24",IF(K32&lt;35,"25-34",IF(K32&lt;45,"35-44",IF(K32&lt;55,"45-54","55+"))))))</f>
        <v>18-24</v>
      </c>
      <c r="M32" s="11"/>
      <c r="N32" s="11"/>
      <c r="O32" s="11" t="s">
        <v>259</v>
      </c>
      <c r="P32" s="11"/>
      <c r="Q32" s="11" t="s">
        <v>187</v>
      </c>
      <c r="R32" s="11" t="s">
        <v>481</v>
      </c>
      <c r="S32" s="11" t="str">
        <f aca="false">IFERROR(VLOOKUP(F32,Locations!$I$5:$J$60,2,FALSE()),"Not mapped")</f>
        <v>Northeast</v>
      </c>
      <c r="T32" s="11"/>
      <c r="U32" s="11"/>
      <c r="V32" s="11"/>
      <c r="W32" s="11"/>
      <c r="X32" s="11"/>
      <c r="Y32" s="11"/>
      <c r="Z32" s="11"/>
      <c r="AA32" s="12" t="s">
        <v>77</v>
      </c>
    </row>
    <row r="33" customFormat="false" ht="15" hidden="false" customHeight="false" outlineLevel="0" collapsed="false">
      <c r="A33" s="11" t="s">
        <v>482</v>
      </c>
      <c r="B33" s="11" t="s">
        <v>3</v>
      </c>
      <c r="C33" s="11" t="s">
        <v>399</v>
      </c>
      <c r="D33" s="11" t="n">
        <v>2018</v>
      </c>
      <c r="E33" s="11" t="s">
        <v>437</v>
      </c>
      <c r="F33" s="11" t="s">
        <v>221</v>
      </c>
      <c r="G33" s="11" t="s">
        <v>391</v>
      </c>
      <c r="H33" s="11" t="s">
        <v>265</v>
      </c>
      <c r="I33" s="11"/>
      <c r="J33" s="11" t="s">
        <v>47</v>
      </c>
      <c r="K33" s="11" t="n">
        <v>34</v>
      </c>
      <c r="L33" s="11" t="str">
        <f aca="false">IF(K33="","Unknown",IF(K33&lt;18,"Under 18",IF(K33&lt;25,"18-24",IF(K33&lt;35,"25-34",IF(K33&lt;45,"35-44",IF(K33&lt;55,"45-54","55+"))))))</f>
        <v>25-34</v>
      </c>
      <c r="M33" s="11"/>
      <c r="N33" s="11"/>
      <c r="O33" s="11" t="s">
        <v>259</v>
      </c>
      <c r="P33" s="11"/>
      <c r="Q33" s="11" t="s">
        <v>191</v>
      </c>
      <c r="R33" s="11" t="s">
        <v>483</v>
      </c>
      <c r="S33" s="11" t="str">
        <f aca="false">IFERROR(VLOOKUP(F33,Locations!$I$5:$J$60,2,FALSE()),"Not mapped")</f>
        <v>South</v>
      </c>
      <c r="T33" s="11"/>
      <c r="U33" s="11"/>
      <c r="V33" s="11"/>
      <c r="W33" s="11"/>
      <c r="X33" s="11"/>
      <c r="Y33" s="11"/>
      <c r="Z33" s="11"/>
      <c r="AA33" s="12" t="s">
        <v>77</v>
      </c>
    </row>
    <row r="34" customFormat="false" ht="15" hidden="false" customHeight="false" outlineLevel="0" collapsed="false">
      <c r="A34" s="11" t="s">
        <v>484</v>
      </c>
      <c r="B34" s="11" t="s">
        <v>3</v>
      </c>
      <c r="C34" s="11" t="s">
        <v>485</v>
      </c>
      <c r="D34" s="11" t="n">
        <v>2019</v>
      </c>
      <c r="E34" s="11" t="s">
        <v>486</v>
      </c>
      <c r="F34" s="11" t="s">
        <v>254</v>
      </c>
      <c r="G34" s="11" t="s">
        <v>391</v>
      </c>
      <c r="H34" s="11" t="s">
        <v>265</v>
      </c>
      <c r="I34" s="11" t="s">
        <v>214</v>
      </c>
      <c r="J34" s="11" t="s">
        <v>47</v>
      </c>
      <c r="K34" s="11" t="n">
        <v>24</v>
      </c>
      <c r="L34" s="11" t="str">
        <f aca="false">IF(K34="","Unknown",IF(K34&lt;18,"Under 18",IF(K34&lt;25,"18-24",IF(K34&lt;35,"25-34",IF(K34&lt;45,"35-44",IF(K34&lt;55,"45-54","55+"))))))</f>
        <v>18-24</v>
      </c>
      <c r="M34" s="11"/>
      <c r="N34" s="11"/>
      <c r="O34" s="11" t="s">
        <v>261</v>
      </c>
      <c r="P34" s="11"/>
      <c r="Q34" s="11" t="s">
        <v>47</v>
      </c>
      <c r="R34" s="11"/>
      <c r="S34" s="11" t="str">
        <f aca="false">IFERROR(VLOOKUP(F34,Locations!$I$5:$J$60,2,FALSE()),"Not mapped")</f>
        <v>U.S. territory</v>
      </c>
      <c r="T34" s="11"/>
      <c r="U34" s="11"/>
      <c r="V34" s="11"/>
      <c r="W34" s="11"/>
      <c r="X34" s="11"/>
      <c r="Y34" s="11"/>
      <c r="Z34" s="11"/>
      <c r="AA34" s="12" t="s">
        <v>77</v>
      </c>
    </row>
    <row r="35" customFormat="false" ht="23.85" hidden="false" customHeight="false" outlineLevel="0" collapsed="false">
      <c r="A35" s="11" t="s">
        <v>273</v>
      </c>
      <c r="B35" s="11" t="s">
        <v>3</v>
      </c>
      <c r="C35" s="11" t="s">
        <v>399</v>
      </c>
      <c r="D35" s="11" t="n">
        <v>2019</v>
      </c>
      <c r="E35" s="11" t="s">
        <v>412</v>
      </c>
      <c r="F35" s="11" t="s">
        <v>241</v>
      </c>
      <c r="G35" s="11" t="s">
        <v>391</v>
      </c>
      <c r="H35" s="11" t="s">
        <v>6</v>
      </c>
      <c r="I35" s="11" t="s">
        <v>487</v>
      </c>
      <c r="J35" s="11" t="s">
        <v>39</v>
      </c>
      <c r="K35" s="11" t="n">
        <v>33</v>
      </c>
      <c r="L35" s="11" t="str">
        <f aca="false">IF(K35="","Unknown",IF(K35&lt;18,"Under 18",IF(K35&lt;25,"18-24",IF(K35&lt;35,"25-34",IF(K35&lt;45,"35-44",IF(K35&lt;55,"45-54","55+"))))))</f>
        <v>25-34</v>
      </c>
      <c r="M35" s="11" t="n">
        <v>29</v>
      </c>
      <c r="N35" s="11"/>
      <c r="O35" s="11" t="s">
        <v>259</v>
      </c>
      <c r="P35" s="11" t="s">
        <v>259</v>
      </c>
      <c r="Q35" s="11" t="s">
        <v>193</v>
      </c>
      <c r="R35" s="11" t="s">
        <v>488</v>
      </c>
      <c r="S35" s="11" t="str">
        <f aca="false">IFERROR(VLOOKUP(F35,Locations!$I$5:$J$60,2,FALSE()),"Not mapped")</f>
        <v>West</v>
      </c>
      <c r="T35" s="11"/>
      <c r="U35" s="11"/>
      <c r="V35" s="11"/>
      <c r="W35" s="11"/>
      <c r="X35" s="11"/>
      <c r="Y35" s="11"/>
      <c r="Z35" s="11"/>
      <c r="AA35" s="12" t="s">
        <v>478</v>
      </c>
    </row>
    <row r="36" customFormat="false" ht="23.85" hidden="false" customHeight="false" outlineLevel="0" collapsed="false">
      <c r="A36" s="11" t="s">
        <v>489</v>
      </c>
      <c r="B36" s="11" t="s">
        <v>3</v>
      </c>
      <c r="C36" s="11" t="s">
        <v>453</v>
      </c>
      <c r="D36" s="11" t="n">
        <v>2020</v>
      </c>
      <c r="E36" s="11" t="s">
        <v>412</v>
      </c>
      <c r="F36" s="11" t="s">
        <v>241</v>
      </c>
      <c r="G36" s="11" t="s">
        <v>490</v>
      </c>
      <c r="H36" s="11" t="s">
        <v>6</v>
      </c>
      <c r="I36" s="11" t="s">
        <v>491</v>
      </c>
      <c r="J36" s="11" t="s">
        <v>38</v>
      </c>
      <c r="K36" s="11" t="n">
        <v>20</v>
      </c>
      <c r="L36" s="11" t="str">
        <f aca="false">IF(K36="","Unknown",IF(K36&lt;18,"Under 18",IF(K36&lt;25,"18-24",IF(K36&lt;35,"25-34",IF(K36&lt;45,"35-44",IF(K36&lt;55,"45-54","55+"))))))</f>
        <v>18-24</v>
      </c>
      <c r="M36" s="11" t="n">
        <v>15</v>
      </c>
      <c r="N36" s="11"/>
      <c r="O36" s="11" t="s">
        <v>259</v>
      </c>
      <c r="P36" s="11"/>
      <c r="Q36" s="11" t="s">
        <v>181</v>
      </c>
      <c r="R36" s="11" t="s">
        <v>492</v>
      </c>
      <c r="S36" s="11" t="str">
        <f aca="false">IFERROR(VLOOKUP(F36,Locations!$I$5:$J$60,2,FALSE()),"Not mapped")</f>
        <v>West</v>
      </c>
      <c r="T36" s="11"/>
      <c r="U36" s="11"/>
      <c r="V36" s="11"/>
      <c r="W36" s="11"/>
      <c r="X36" s="11"/>
      <c r="Y36" s="11"/>
      <c r="Z36" s="11"/>
      <c r="AA36" s="12" t="s">
        <v>493</v>
      </c>
    </row>
    <row r="37" customFormat="false" ht="15" hidden="false" customHeight="false" outlineLevel="0" collapsed="false">
      <c r="A37" s="11" t="s">
        <v>494</v>
      </c>
      <c r="B37" s="11" t="s">
        <v>3</v>
      </c>
      <c r="C37" s="11" t="s">
        <v>399</v>
      </c>
      <c r="D37" s="11" t="n">
        <v>2020</v>
      </c>
      <c r="E37" s="11" t="s">
        <v>495</v>
      </c>
      <c r="F37" s="11" t="s">
        <v>201</v>
      </c>
      <c r="G37" s="11" t="s">
        <v>391</v>
      </c>
      <c r="H37" s="11" t="s">
        <v>265</v>
      </c>
      <c r="I37" s="11"/>
      <c r="J37" s="11" t="s">
        <v>47</v>
      </c>
      <c r="K37" s="11" t="n">
        <v>31</v>
      </c>
      <c r="L37" s="11" t="str">
        <f aca="false">IF(K37="","Unknown",IF(K37&lt;18,"Under 18",IF(K37&lt;25,"18-24",IF(K37&lt;35,"25-34",IF(K37&lt;45,"35-44",IF(K37&lt;55,"45-54","55+"))))))</f>
        <v>25-34</v>
      </c>
      <c r="M37" s="11"/>
      <c r="N37" s="11"/>
      <c r="O37" s="11" t="s">
        <v>259</v>
      </c>
      <c r="P37" s="11"/>
      <c r="Q37" s="11" t="s">
        <v>47</v>
      </c>
      <c r="R37" s="11"/>
      <c r="S37" s="11" t="str">
        <f aca="false">IFERROR(VLOOKUP(F37,Locations!$I$5:$J$60,2,FALSE()),"Not mapped")</f>
        <v>Midwest</v>
      </c>
      <c r="T37" s="11"/>
      <c r="U37" s="11"/>
      <c r="V37" s="11"/>
      <c r="W37" s="11"/>
      <c r="X37" s="11"/>
      <c r="Y37" s="11"/>
      <c r="Z37" s="11"/>
      <c r="AA37" s="12" t="s">
        <v>77</v>
      </c>
    </row>
    <row r="38" customFormat="false" ht="23.85" hidden="false" customHeight="false" outlineLevel="0" collapsed="false">
      <c r="A38" s="11" t="s">
        <v>496</v>
      </c>
      <c r="B38" s="11" t="s">
        <v>3</v>
      </c>
      <c r="C38" s="11" t="s">
        <v>453</v>
      </c>
      <c r="D38" s="11" t="n">
        <v>2020</v>
      </c>
      <c r="E38" s="11" t="s">
        <v>454</v>
      </c>
      <c r="F38" s="11" t="s">
        <v>198</v>
      </c>
      <c r="G38" s="11" t="s">
        <v>391</v>
      </c>
      <c r="H38" s="11" t="s">
        <v>6</v>
      </c>
      <c r="I38" s="11" t="s">
        <v>497</v>
      </c>
      <c r="J38" s="11" t="s">
        <v>37</v>
      </c>
      <c r="K38" s="11" t="n">
        <v>26</v>
      </c>
      <c r="L38" s="11" t="str">
        <f aca="false">IF(K38="","Unknown",IF(K38&lt;18,"Under 18",IF(K38&lt;25,"18-24",IF(K38&lt;35,"25-34",IF(K38&lt;45,"35-44",IF(K38&lt;55,"45-54","55+"))))))</f>
        <v>25-34</v>
      </c>
      <c r="M38" s="11"/>
      <c r="N38" s="11"/>
      <c r="O38" s="11" t="s">
        <v>259</v>
      </c>
      <c r="P38" s="11"/>
      <c r="Q38" s="11" t="s">
        <v>187</v>
      </c>
      <c r="R38" s="11" t="s">
        <v>498</v>
      </c>
      <c r="S38" s="11" t="str">
        <f aca="false">IFERROR(VLOOKUP(F38,Locations!$I$5:$J$60,2,FALSE()),"Not mapped")</f>
        <v>Midwest</v>
      </c>
      <c r="T38" s="11"/>
      <c r="U38" s="11"/>
      <c r="V38" s="11" t="s">
        <v>499</v>
      </c>
      <c r="W38" s="11"/>
      <c r="X38" s="11"/>
      <c r="Y38" s="11"/>
      <c r="Z38" s="11"/>
      <c r="AA38" s="12" t="s">
        <v>77</v>
      </c>
    </row>
    <row r="39" customFormat="false" ht="23.85" hidden="false" customHeight="false" outlineLevel="0" collapsed="false">
      <c r="A39" s="11" t="s">
        <v>500</v>
      </c>
      <c r="B39" s="11" t="s">
        <v>3</v>
      </c>
      <c r="C39" s="11" t="s">
        <v>453</v>
      </c>
      <c r="D39" s="11" t="n">
        <v>2020</v>
      </c>
      <c r="E39" s="11" t="s">
        <v>471</v>
      </c>
      <c r="F39" s="11" t="s">
        <v>219</v>
      </c>
      <c r="G39" s="11" t="s">
        <v>391</v>
      </c>
      <c r="H39" s="11" t="s">
        <v>265</v>
      </c>
      <c r="I39" s="11"/>
      <c r="J39" s="11" t="s">
        <v>37</v>
      </c>
      <c r="K39" s="11" t="n">
        <v>26</v>
      </c>
      <c r="L39" s="11" t="str">
        <f aca="false">IF(K39="","Unknown",IF(K39&lt;18,"Under 18",IF(K39&lt;25,"18-24",IF(K39&lt;35,"25-34",IF(K39&lt;45,"35-44",IF(K39&lt;55,"45-54","55+"))))))</f>
        <v>25-34</v>
      </c>
      <c r="M39" s="11"/>
      <c r="N39" s="11"/>
      <c r="O39" s="11" t="s">
        <v>259</v>
      </c>
      <c r="P39" s="11"/>
      <c r="Q39" s="11" t="s">
        <v>183</v>
      </c>
      <c r="R39" s="11" t="s">
        <v>501</v>
      </c>
      <c r="S39" s="11" t="str">
        <f aca="false">IFERROR(VLOOKUP(F39,Locations!$I$5:$J$60,2,FALSE()),"Not mapped")</f>
        <v>South</v>
      </c>
      <c r="T39" s="11"/>
      <c r="U39" s="11"/>
      <c r="V39" s="11"/>
      <c r="W39" s="11"/>
      <c r="X39" s="11"/>
      <c r="Y39" s="11"/>
      <c r="Z39" s="11"/>
      <c r="AA39" s="12" t="s">
        <v>77</v>
      </c>
    </row>
    <row r="40" customFormat="false" ht="23.85" hidden="false" customHeight="false" outlineLevel="0" collapsed="false">
      <c r="A40" s="11" t="s">
        <v>502</v>
      </c>
      <c r="B40" s="11" t="s">
        <v>3</v>
      </c>
      <c r="C40" s="11" t="s">
        <v>399</v>
      </c>
      <c r="D40" s="11" t="n">
        <v>2020</v>
      </c>
      <c r="E40" s="11" t="s">
        <v>397</v>
      </c>
      <c r="F40" s="11" t="s">
        <v>217</v>
      </c>
      <c r="G40" s="11" t="s">
        <v>391</v>
      </c>
      <c r="H40" s="11" t="s">
        <v>7</v>
      </c>
      <c r="I40" s="11" t="s">
        <v>503</v>
      </c>
      <c r="J40" s="11" t="s">
        <v>37</v>
      </c>
      <c r="K40" s="11" t="n">
        <v>28</v>
      </c>
      <c r="L40" s="11" t="str">
        <f aca="false">IF(K40="","Unknown",IF(K40&lt;18,"Under 18",IF(K40&lt;25,"18-24",IF(K40&lt;35,"25-34",IF(K40&lt;45,"35-44",IF(K40&lt;55,"45-54","55+"))))))</f>
        <v>25-34</v>
      </c>
      <c r="M40" s="11"/>
      <c r="N40" s="11"/>
      <c r="O40" s="11" t="s">
        <v>259</v>
      </c>
      <c r="P40" s="11"/>
      <c r="Q40" s="11" t="s">
        <v>189</v>
      </c>
      <c r="R40" s="11" t="s">
        <v>504</v>
      </c>
      <c r="S40" s="11" t="str">
        <f aca="false">IFERROR(VLOOKUP(F40,Locations!$I$5:$J$60,2,FALSE()),"Not mapped")</f>
        <v>South</v>
      </c>
      <c r="T40" s="11"/>
      <c r="U40" s="11"/>
      <c r="V40" s="11"/>
      <c r="W40" s="11"/>
      <c r="X40" s="11"/>
      <c r="Y40" s="11"/>
      <c r="Z40" s="11"/>
      <c r="AA40" s="12" t="s">
        <v>505</v>
      </c>
    </row>
    <row r="41" customFormat="false" ht="23.85" hidden="false" customHeight="false" outlineLevel="0" collapsed="false">
      <c r="A41" s="11" t="s">
        <v>506</v>
      </c>
      <c r="B41" s="11" t="s">
        <v>3</v>
      </c>
      <c r="C41" s="11" t="s">
        <v>399</v>
      </c>
      <c r="D41" s="11" t="n">
        <v>2021</v>
      </c>
      <c r="E41" s="11" t="s">
        <v>507</v>
      </c>
      <c r="F41" s="11" t="s">
        <v>223</v>
      </c>
      <c r="G41" s="11" t="s">
        <v>391</v>
      </c>
      <c r="H41" s="11" t="s">
        <v>6</v>
      </c>
      <c r="I41" s="11" t="s">
        <v>508</v>
      </c>
      <c r="J41" s="11" t="s">
        <v>37</v>
      </c>
      <c r="K41" s="11" t="n">
        <v>36</v>
      </c>
      <c r="L41" s="11" t="str">
        <f aca="false">IF(K41="","Unknown",IF(K41&lt;18,"Under 18",IF(K41&lt;25,"18-24",IF(K41&lt;35,"25-34",IF(K41&lt;45,"35-44",IF(K41&lt;55,"45-54","55+"))))))</f>
        <v>35-44</v>
      </c>
      <c r="M41" s="11"/>
      <c r="N41" s="11"/>
      <c r="O41" s="11" t="s">
        <v>259</v>
      </c>
      <c r="P41" s="11"/>
      <c r="Q41" s="11" t="s">
        <v>193</v>
      </c>
      <c r="R41" s="11" t="s">
        <v>509</v>
      </c>
      <c r="S41" s="11" t="str">
        <f aca="false">IFERROR(VLOOKUP(F41,Locations!$I$5:$J$60,2,FALSE()),"Not mapped")</f>
        <v>South</v>
      </c>
      <c r="T41" s="11"/>
      <c r="U41" s="11"/>
      <c r="V41" s="11"/>
      <c r="W41" s="11"/>
      <c r="X41" s="11"/>
      <c r="Y41" s="11"/>
      <c r="Z41" s="11"/>
      <c r="AA41" s="12" t="s">
        <v>478</v>
      </c>
    </row>
    <row r="42" customFormat="false" ht="23.85" hidden="false" customHeight="false" outlineLevel="0" collapsed="false">
      <c r="A42" s="11" t="s">
        <v>510</v>
      </c>
      <c r="B42" s="11" t="s">
        <v>3</v>
      </c>
      <c r="C42" s="11" t="s">
        <v>399</v>
      </c>
      <c r="D42" s="11" t="n">
        <v>2021</v>
      </c>
      <c r="E42" s="11" t="s">
        <v>412</v>
      </c>
      <c r="F42" s="11" t="s">
        <v>241</v>
      </c>
      <c r="G42" s="11" t="s">
        <v>511</v>
      </c>
      <c r="H42" s="11" t="s">
        <v>265</v>
      </c>
      <c r="I42" s="11"/>
      <c r="J42" s="11" t="s">
        <v>47</v>
      </c>
      <c r="K42" s="11" t="n">
        <v>28</v>
      </c>
      <c r="L42" s="11" t="str">
        <f aca="false">IF(K42="","Unknown",IF(K42&lt;18,"Under 18",IF(K42&lt;25,"18-24",IF(K42&lt;35,"25-34",IF(K42&lt;45,"35-44",IF(K42&lt;55,"45-54","55+"))))))</f>
        <v>25-34</v>
      </c>
      <c r="M42" s="11"/>
      <c r="N42" s="11"/>
      <c r="O42" s="11" t="s">
        <v>259</v>
      </c>
      <c r="P42" s="11"/>
      <c r="Q42" s="11" t="s">
        <v>185</v>
      </c>
      <c r="R42" s="11" t="s">
        <v>512</v>
      </c>
      <c r="S42" s="11" t="str">
        <f aca="false">IFERROR(VLOOKUP(F42,Locations!$I$5:$J$60,2,FALSE()),"Not mapped")</f>
        <v>West</v>
      </c>
      <c r="T42" s="11"/>
      <c r="U42" s="11"/>
      <c r="V42" s="11"/>
      <c r="W42" s="11"/>
      <c r="X42" s="11"/>
      <c r="Y42" s="11"/>
      <c r="Z42" s="11"/>
      <c r="AA42" s="12" t="s">
        <v>77</v>
      </c>
    </row>
    <row r="43" customFormat="false" ht="15" hidden="false" customHeight="false" outlineLevel="0" collapsed="false">
      <c r="A43" s="11" t="s">
        <v>513</v>
      </c>
      <c r="B43" s="11" t="s">
        <v>3</v>
      </c>
      <c r="C43" s="11" t="s">
        <v>399</v>
      </c>
      <c r="D43" s="11" t="n">
        <v>2022</v>
      </c>
      <c r="E43" s="11" t="s">
        <v>415</v>
      </c>
      <c r="F43" s="11" t="s">
        <v>217</v>
      </c>
      <c r="G43" s="11" t="s">
        <v>391</v>
      </c>
      <c r="H43" s="11" t="s">
        <v>7</v>
      </c>
      <c r="I43" s="11" t="s">
        <v>514</v>
      </c>
      <c r="J43" s="11" t="s">
        <v>47</v>
      </c>
      <c r="K43" s="11" t="n">
        <v>36</v>
      </c>
      <c r="L43" s="11" t="str">
        <f aca="false">IF(K43="","Unknown",IF(K43&lt;18,"Under 18",IF(K43&lt;25,"18-24",IF(K43&lt;35,"25-34",IF(K43&lt;45,"35-44",IF(K43&lt;55,"45-54","55+"))))))</f>
        <v>35-44</v>
      </c>
      <c r="M43" s="11"/>
      <c r="N43" s="11"/>
      <c r="O43" s="11" t="s">
        <v>259</v>
      </c>
      <c r="P43" s="11"/>
      <c r="Q43" s="11" t="s">
        <v>187</v>
      </c>
      <c r="R43" s="11" t="s">
        <v>515</v>
      </c>
      <c r="S43" s="11" t="str">
        <f aca="false">IFERROR(VLOOKUP(F43,Locations!$I$5:$J$60,2,FALSE()),"Not mapped")</f>
        <v>South</v>
      </c>
      <c r="T43" s="11"/>
      <c r="U43" s="11"/>
      <c r="V43" s="11"/>
      <c r="W43" s="11"/>
      <c r="X43" s="11"/>
      <c r="Y43" s="11"/>
      <c r="Z43" s="11"/>
      <c r="AA43" s="12" t="s">
        <v>516</v>
      </c>
    </row>
    <row r="44" customFormat="false" ht="23.85" hidden="false" customHeight="false" outlineLevel="0" collapsed="false">
      <c r="A44" s="11" t="s">
        <v>517</v>
      </c>
      <c r="B44" s="11" t="s">
        <v>3</v>
      </c>
      <c r="C44" s="11" t="s">
        <v>399</v>
      </c>
      <c r="D44" s="11" t="n">
        <v>2022</v>
      </c>
      <c r="E44" s="11" t="s">
        <v>518</v>
      </c>
      <c r="F44" s="11" t="s">
        <v>225</v>
      </c>
      <c r="G44" s="11" t="s">
        <v>391</v>
      </c>
      <c r="H44" s="11" t="s">
        <v>265</v>
      </c>
      <c r="I44" s="11"/>
      <c r="J44" s="11" t="s">
        <v>47</v>
      </c>
      <c r="K44" s="11" t="n">
        <v>24</v>
      </c>
      <c r="L44" s="11" t="str">
        <f aca="false">IF(K44="","Unknown",IF(K44&lt;18,"Under 18",IF(K44&lt;25,"18-24",IF(K44&lt;35,"25-34",IF(K44&lt;45,"35-44",IF(K44&lt;55,"45-54","55+"))))))</f>
        <v>18-24</v>
      </c>
      <c r="M44" s="11"/>
      <c r="N44" s="11"/>
      <c r="O44" s="11" t="s">
        <v>259</v>
      </c>
      <c r="P44" s="11"/>
      <c r="Q44" s="11" t="s">
        <v>47</v>
      </c>
      <c r="R44" s="11"/>
      <c r="S44" s="11" t="str">
        <f aca="false">IFERROR(VLOOKUP(F44,Locations!$I$5:$J$60,2,FALSE()),"Not mapped")</f>
        <v>South</v>
      </c>
      <c r="T44" s="11"/>
      <c r="U44" s="11"/>
      <c r="V44" s="11"/>
      <c r="W44" s="11"/>
      <c r="X44" s="11"/>
      <c r="Y44" s="11"/>
      <c r="Z44" s="11"/>
      <c r="AA44" s="12" t="s">
        <v>77</v>
      </c>
    </row>
    <row r="45" customFormat="false" ht="15" hidden="false" customHeight="false" outlineLevel="0" collapsed="false">
      <c r="A45" s="11" t="s">
        <v>519</v>
      </c>
      <c r="B45" s="11" t="s">
        <v>3</v>
      </c>
      <c r="C45" s="11" t="s">
        <v>399</v>
      </c>
      <c r="D45" s="11" t="n">
        <v>2022</v>
      </c>
      <c r="E45" s="11" t="s">
        <v>520</v>
      </c>
      <c r="F45" s="11" t="s">
        <v>219</v>
      </c>
      <c r="G45" s="11" t="s">
        <v>391</v>
      </c>
      <c r="H45" s="11" t="s">
        <v>265</v>
      </c>
      <c r="I45" s="11" t="s">
        <v>521</v>
      </c>
      <c r="J45" s="11" t="s">
        <v>39</v>
      </c>
      <c r="K45" s="11" t="n">
        <v>37</v>
      </c>
      <c r="L45" s="11" t="str">
        <f aca="false">IF(K45="","Unknown",IF(K45&lt;18,"Under 18",IF(K45&lt;25,"18-24",IF(K45&lt;35,"25-34",IF(K45&lt;45,"35-44",IF(K45&lt;55,"45-54","55+"))))))</f>
        <v>35-44</v>
      </c>
      <c r="M45" s="11"/>
      <c r="N45" s="11"/>
      <c r="O45" s="11" t="s">
        <v>265</v>
      </c>
      <c r="P45" s="11"/>
      <c r="Q45" s="11" t="s">
        <v>47</v>
      </c>
      <c r="R45" s="11"/>
      <c r="S45" s="11" t="str">
        <f aca="false">IFERROR(VLOOKUP(F45,Locations!$I$5:$J$60,2,FALSE()),"Not mapped")</f>
        <v>South</v>
      </c>
      <c r="T45" s="11"/>
      <c r="U45" s="11"/>
      <c r="V45" s="11"/>
      <c r="W45" s="11"/>
      <c r="X45" s="11"/>
      <c r="Y45" s="11"/>
      <c r="Z45" s="11"/>
      <c r="AA45" s="12" t="s">
        <v>77</v>
      </c>
    </row>
    <row r="46" customFormat="false" ht="15" hidden="false" customHeight="false" outlineLevel="0" collapsed="false">
      <c r="A46" s="11" t="s">
        <v>522</v>
      </c>
      <c r="B46" s="11" t="s">
        <v>3</v>
      </c>
      <c r="C46" s="11" t="s">
        <v>399</v>
      </c>
      <c r="D46" s="11" t="n">
        <v>2022</v>
      </c>
      <c r="E46" s="11" t="s">
        <v>471</v>
      </c>
      <c r="F46" s="11" t="s">
        <v>219</v>
      </c>
      <c r="G46" s="11" t="s">
        <v>490</v>
      </c>
      <c r="H46" s="11" t="s">
        <v>265</v>
      </c>
      <c r="I46" s="11"/>
      <c r="J46" s="11" t="s">
        <v>47</v>
      </c>
      <c r="K46" s="11" t="n">
        <v>34</v>
      </c>
      <c r="L46" s="11" t="str">
        <f aca="false">IF(K46="","Unknown",IF(K46&lt;18,"Under 18",IF(K46&lt;25,"18-24",IF(K46&lt;35,"25-34",IF(K46&lt;45,"35-44",IF(K46&lt;55,"45-54","55+"))))))</f>
        <v>25-34</v>
      </c>
      <c r="M46" s="11"/>
      <c r="N46" s="11"/>
      <c r="O46" s="11" t="s">
        <v>259</v>
      </c>
      <c r="P46" s="11"/>
      <c r="Q46" s="11" t="s">
        <v>181</v>
      </c>
      <c r="R46" s="11" t="s">
        <v>523</v>
      </c>
      <c r="S46" s="11" t="str">
        <f aca="false">IFERROR(VLOOKUP(F46,Locations!$I$5:$J$60,2,FALSE()),"Not mapped")</f>
        <v>South</v>
      </c>
      <c r="T46" s="11"/>
      <c r="U46" s="11"/>
      <c r="V46" s="11"/>
      <c r="W46" s="11"/>
      <c r="X46" s="11"/>
      <c r="Y46" s="11"/>
      <c r="Z46" s="11"/>
      <c r="AA46" s="12" t="s">
        <v>77</v>
      </c>
    </row>
    <row r="47" customFormat="false" ht="23.85" hidden="false" customHeight="false" outlineLevel="0" collapsed="false">
      <c r="A47" s="11" t="s">
        <v>524</v>
      </c>
      <c r="B47" s="11" t="s">
        <v>3</v>
      </c>
      <c r="C47" s="11" t="s">
        <v>453</v>
      </c>
      <c r="D47" s="11" t="n">
        <v>2022</v>
      </c>
      <c r="E47" s="11" t="s">
        <v>390</v>
      </c>
      <c r="F47" s="11" t="s">
        <v>179</v>
      </c>
      <c r="G47" s="11" t="s">
        <v>525</v>
      </c>
      <c r="H47" s="11" t="s">
        <v>265</v>
      </c>
      <c r="I47" s="11" t="s">
        <v>526</v>
      </c>
      <c r="J47" s="11" t="s">
        <v>37</v>
      </c>
      <c r="K47" s="11" t="n">
        <v>14</v>
      </c>
      <c r="L47" s="11" t="str">
        <f aca="false">IF(K47="","Unknown",IF(K47&lt;18,"Under 18",IF(K47&lt;25,"18-24",IF(K47&lt;35,"25-34",IF(K47&lt;45,"35-44",IF(K47&lt;55,"45-54","55+"))))))</f>
        <v>Under 18</v>
      </c>
      <c r="M47" s="11"/>
      <c r="N47" s="11"/>
      <c r="O47" s="11" t="s">
        <v>259</v>
      </c>
      <c r="P47" s="11"/>
      <c r="Q47" s="11" t="s">
        <v>200</v>
      </c>
      <c r="R47" s="11" t="s">
        <v>527</v>
      </c>
      <c r="S47" s="11" t="str">
        <f aca="false">IFERROR(VLOOKUP(F47,Locations!$I$5:$J$60,2,FALSE()),"Not mapped")</f>
        <v>Northeast</v>
      </c>
      <c r="T47" s="11"/>
      <c r="U47" s="11"/>
      <c r="V47" s="11"/>
      <c r="W47" s="11"/>
      <c r="X47" s="11"/>
      <c r="Y47" s="11"/>
      <c r="Z47" s="11"/>
      <c r="AA47" s="12" t="s">
        <v>77</v>
      </c>
    </row>
    <row r="48" customFormat="false" ht="15" hidden="false" customHeight="false" outlineLevel="0" collapsed="false">
      <c r="A48" s="11" t="s">
        <v>528</v>
      </c>
      <c r="B48" s="11" t="s">
        <v>3</v>
      </c>
      <c r="C48" s="11" t="s">
        <v>399</v>
      </c>
      <c r="D48" s="11" t="n">
        <v>2022</v>
      </c>
      <c r="E48" s="11" t="s">
        <v>529</v>
      </c>
      <c r="F48" s="11" t="s">
        <v>221</v>
      </c>
      <c r="G48" s="11" t="s">
        <v>391</v>
      </c>
      <c r="H48" s="11" t="s">
        <v>265</v>
      </c>
      <c r="I48" s="11"/>
      <c r="J48" s="11" t="s">
        <v>47</v>
      </c>
      <c r="K48" s="11" t="n">
        <v>24</v>
      </c>
      <c r="L48" s="11" t="str">
        <f aca="false">IF(K48="","Unknown",IF(K48&lt;18,"Under 18",IF(K48&lt;25,"18-24",IF(K48&lt;35,"25-34",IF(K48&lt;45,"35-44",IF(K48&lt;55,"45-54","55+"))))))</f>
        <v>18-24</v>
      </c>
      <c r="M48" s="11"/>
      <c r="N48" s="11"/>
      <c r="O48" s="11" t="s">
        <v>259</v>
      </c>
      <c r="P48" s="11"/>
      <c r="Q48" s="11" t="s">
        <v>47</v>
      </c>
      <c r="R48" s="11"/>
      <c r="S48" s="11" t="str">
        <f aca="false">IFERROR(VLOOKUP(F48,Locations!$I$5:$J$60,2,FALSE()),"Not mapped")</f>
        <v>South</v>
      </c>
      <c r="T48" s="11"/>
      <c r="U48" s="11"/>
      <c r="V48" s="11"/>
      <c r="W48" s="11"/>
      <c r="X48" s="11"/>
      <c r="Y48" s="11"/>
      <c r="Z48" s="11"/>
      <c r="AA48" s="12" t="s">
        <v>77</v>
      </c>
    </row>
    <row r="49" customFormat="false" ht="15" hidden="false" customHeight="false" outlineLevel="0" collapsed="false">
      <c r="A49" s="11" t="s">
        <v>530</v>
      </c>
      <c r="B49" s="11" t="s">
        <v>3</v>
      </c>
      <c r="C49" s="11" t="s">
        <v>399</v>
      </c>
      <c r="D49" s="11" t="n">
        <v>2022</v>
      </c>
      <c r="E49" s="11" t="s">
        <v>531</v>
      </c>
      <c r="F49" s="11" t="s">
        <v>241</v>
      </c>
      <c r="G49" s="11" t="s">
        <v>391</v>
      </c>
      <c r="H49" s="11" t="s">
        <v>265</v>
      </c>
      <c r="I49" s="11"/>
      <c r="J49" s="11" t="s">
        <v>47</v>
      </c>
      <c r="K49" s="11" t="n">
        <v>29</v>
      </c>
      <c r="L49" s="11" t="str">
        <f aca="false">IF(K49="","Unknown",IF(K49&lt;18,"Under 18",IF(K49&lt;25,"18-24",IF(K49&lt;35,"25-34",IF(K49&lt;45,"35-44",IF(K49&lt;55,"45-54","55+"))))))</f>
        <v>25-34</v>
      </c>
      <c r="M49" s="11"/>
      <c r="N49" s="11"/>
      <c r="O49" s="11" t="s">
        <v>259</v>
      </c>
      <c r="P49" s="11"/>
      <c r="Q49" s="11" t="s">
        <v>47</v>
      </c>
      <c r="R49" s="11"/>
      <c r="S49" s="11" t="str">
        <f aca="false">IFERROR(VLOOKUP(F49,Locations!$I$5:$J$60,2,FALSE()),"Not mapped")</f>
        <v>West</v>
      </c>
      <c r="T49" s="11"/>
      <c r="U49" s="11"/>
      <c r="V49" s="11"/>
      <c r="W49" s="11"/>
      <c r="X49" s="11"/>
      <c r="Y49" s="11"/>
      <c r="Z49" s="11"/>
      <c r="AA49" s="12" t="s">
        <v>77</v>
      </c>
    </row>
    <row r="50" customFormat="false" ht="23.85" hidden="false" customHeight="false" outlineLevel="0" collapsed="false">
      <c r="A50" s="11" t="s">
        <v>532</v>
      </c>
      <c r="B50" s="11" t="s">
        <v>3</v>
      </c>
      <c r="C50" s="11" t="s">
        <v>399</v>
      </c>
      <c r="D50" s="11" t="n">
        <v>2022</v>
      </c>
      <c r="E50" s="11" t="s">
        <v>412</v>
      </c>
      <c r="F50" s="11" t="s">
        <v>241</v>
      </c>
      <c r="G50" s="11" t="s">
        <v>475</v>
      </c>
      <c r="H50" s="11" t="s">
        <v>6</v>
      </c>
      <c r="I50" s="11" t="s">
        <v>533</v>
      </c>
      <c r="J50" s="11" t="s">
        <v>38</v>
      </c>
      <c r="K50" s="11" t="n">
        <v>30</v>
      </c>
      <c r="L50" s="11" t="str">
        <f aca="false">IF(K50="","Unknown",IF(K50&lt;18,"Under 18",IF(K50&lt;25,"18-24",IF(K50&lt;35,"25-34",IF(K50&lt;45,"35-44",IF(K50&lt;55,"45-54","55+"))))))</f>
        <v>25-34</v>
      </c>
      <c r="M50" s="11" t="n">
        <v>17</v>
      </c>
      <c r="N50" s="11"/>
      <c r="O50" s="11" t="s">
        <v>259</v>
      </c>
      <c r="P50" s="11"/>
      <c r="Q50" s="11" t="s">
        <v>193</v>
      </c>
      <c r="R50" s="11" t="s">
        <v>534</v>
      </c>
      <c r="S50" s="11" t="str">
        <f aca="false">IFERROR(VLOOKUP(F50,Locations!$I$5:$J$60,2,FALSE()),"Not mapped")</f>
        <v>West</v>
      </c>
      <c r="T50" s="11"/>
      <c r="U50" s="11"/>
      <c r="V50" s="11"/>
      <c r="W50" s="11"/>
      <c r="X50" s="11"/>
      <c r="Y50" s="11"/>
      <c r="Z50" s="11" t="s">
        <v>535</v>
      </c>
      <c r="AA50" s="12" t="s">
        <v>65</v>
      </c>
    </row>
    <row r="51" customFormat="false" ht="15" hidden="false" customHeight="false" outlineLevel="0" collapsed="false">
      <c r="A51" s="11" t="s">
        <v>536</v>
      </c>
      <c r="B51" s="11" t="s">
        <v>3</v>
      </c>
      <c r="C51" s="11" t="s">
        <v>399</v>
      </c>
      <c r="D51" s="11" t="n">
        <v>2022</v>
      </c>
      <c r="E51" s="11" t="s">
        <v>415</v>
      </c>
      <c r="F51" s="11" t="s">
        <v>217</v>
      </c>
      <c r="G51" s="11" t="s">
        <v>391</v>
      </c>
      <c r="H51" s="11" t="s">
        <v>265</v>
      </c>
      <c r="I51" s="11"/>
      <c r="J51" s="11" t="s">
        <v>47</v>
      </c>
      <c r="K51" s="11"/>
      <c r="L51" s="11" t="str">
        <f aca="false">IF(K51="","Unknown",IF(K51&lt;18,"Under 18",IF(K51&lt;25,"18-24",IF(K51&lt;35,"25-34",IF(K51&lt;45,"35-44",IF(K51&lt;55,"45-54","55+"))))))</f>
        <v>Unknown</v>
      </c>
      <c r="M51" s="11"/>
      <c r="N51" s="11"/>
      <c r="O51" s="11" t="s">
        <v>265</v>
      </c>
      <c r="P51" s="11"/>
      <c r="Q51" s="11" t="s">
        <v>189</v>
      </c>
      <c r="R51" s="11" t="s">
        <v>537</v>
      </c>
      <c r="S51" s="11" t="str">
        <f aca="false">IFERROR(VLOOKUP(F51,Locations!$I$5:$J$60,2,FALSE()),"Not mapped")</f>
        <v>South</v>
      </c>
      <c r="T51" s="11"/>
      <c r="U51" s="11"/>
      <c r="V51" s="11"/>
      <c r="W51" s="11"/>
      <c r="X51" s="11"/>
      <c r="Y51" s="11"/>
      <c r="Z51" s="11"/>
      <c r="AA51" s="12" t="s">
        <v>516</v>
      </c>
    </row>
    <row r="52" customFormat="false" ht="23.85" hidden="false" customHeight="false" outlineLevel="0" collapsed="false">
      <c r="A52" s="11" t="s">
        <v>538</v>
      </c>
      <c r="B52" s="11" t="s">
        <v>3</v>
      </c>
      <c r="C52" s="11" t="s">
        <v>539</v>
      </c>
      <c r="D52" s="11" t="n">
        <v>2022</v>
      </c>
      <c r="E52" s="11" t="s">
        <v>415</v>
      </c>
      <c r="F52" s="11" t="s">
        <v>217</v>
      </c>
      <c r="G52" s="11" t="s">
        <v>391</v>
      </c>
      <c r="H52" s="11" t="s">
        <v>7</v>
      </c>
      <c r="I52" s="11" t="s">
        <v>540</v>
      </c>
      <c r="J52" s="11" t="s">
        <v>39</v>
      </c>
      <c r="K52" s="11" t="n">
        <v>28</v>
      </c>
      <c r="L52" s="11" t="str">
        <f aca="false">IF(K52="","Unknown",IF(K52&lt;18,"Under 18",IF(K52&lt;25,"18-24",IF(K52&lt;35,"25-34",IF(K52&lt;45,"35-44",IF(K52&lt;55,"45-54","55+"))))))</f>
        <v>25-34</v>
      </c>
      <c r="M52" s="11" t="n">
        <v>33</v>
      </c>
      <c r="N52" s="11"/>
      <c r="O52" s="11" t="s">
        <v>259</v>
      </c>
      <c r="P52" s="11"/>
      <c r="Q52" s="11" t="s">
        <v>193</v>
      </c>
      <c r="R52" s="11" t="s">
        <v>541</v>
      </c>
      <c r="S52" s="11" t="str">
        <f aca="false">IFERROR(VLOOKUP(F52,Locations!$I$5:$J$60,2,FALSE()),"Not mapped")</f>
        <v>South</v>
      </c>
      <c r="T52" s="11"/>
      <c r="U52" s="11"/>
      <c r="V52" s="11"/>
      <c r="W52" s="11"/>
      <c r="X52" s="11"/>
      <c r="Y52" s="11" t="s">
        <v>542</v>
      </c>
      <c r="Z52" s="11"/>
      <c r="AA52" s="12" t="s">
        <v>69</v>
      </c>
    </row>
    <row r="53" customFormat="false" ht="15" hidden="false" customHeight="false" outlineLevel="0" collapsed="false">
      <c r="A53" s="11" t="s">
        <v>543</v>
      </c>
      <c r="B53" s="11" t="s">
        <v>3</v>
      </c>
      <c r="C53" s="11" t="s">
        <v>399</v>
      </c>
      <c r="D53" s="11" t="n">
        <v>2023</v>
      </c>
      <c r="E53" s="11" t="s">
        <v>415</v>
      </c>
      <c r="F53" s="11" t="s">
        <v>217</v>
      </c>
      <c r="G53" s="11" t="s">
        <v>406</v>
      </c>
      <c r="H53" s="11" t="s">
        <v>7</v>
      </c>
      <c r="I53" s="11" t="s">
        <v>544</v>
      </c>
      <c r="J53" s="11" t="s">
        <v>47</v>
      </c>
      <c r="K53" s="11"/>
      <c r="L53" s="11" t="str">
        <f aca="false">IF(K53="","Unknown",IF(K53&lt;18,"Under 18",IF(K53&lt;25,"18-24",IF(K53&lt;35,"25-34",IF(K53&lt;45,"35-44",IF(K53&lt;55,"45-54","55+"))))))</f>
        <v>Unknown</v>
      </c>
      <c r="M53" s="11"/>
      <c r="N53" s="11"/>
      <c r="O53" s="11" t="s">
        <v>265</v>
      </c>
      <c r="P53" s="11"/>
      <c r="Q53" s="11" t="s">
        <v>191</v>
      </c>
      <c r="R53" s="11" t="s">
        <v>545</v>
      </c>
      <c r="S53" s="11" t="str">
        <f aca="false">IFERROR(VLOOKUP(F53,Locations!$I$5:$J$60,2,FALSE()),"Not mapped")</f>
        <v>South</v>
      </c>
      <c r="T53" s="11"/>
      <c r="U53" s="11"/>
      <c r="V53" s="11"/>
      <c r="W53" s="11"/>
      <c r="X53" s="11"/>
      <c r="Y53" s="11"/>
      <c r="Z53" s="11"/>
      <c r="AA53" s="12" t="s">
        <v>516</v>
      </c>
    </row>
    <row r="54" customFormat="false" ht="23.85" hidden="false" customHeight="false" outlineLevel="0" collapsed="false">
      <c r="A54" s="11" t="s">
        <v>546</v>
      </c>
      <c r="B54" s="11" t="s">
        <v>3</v>
      </c>
      <c r="C54" s="11" t="s">
        <v>399</v>
      </c>
      <c r="D54" s="11" t="n">
        <v>2024</v>
      </c>
      <c r="E54" s="11" t="s">
        <v>547</v>
      </c>
      <c r="F54" s="11" t="s">
        <v>218</v>
      </c>
      <c r="G54" s="11" t="s">
        <v>391</v>
      </c>
      <c r="H54" s="11" t="s">
        <v>6</v>
      </c>
      <c r="I54" s="11" t="s">
        <v>548</v>
      </c>
      <c r="J54" s="11" t="s">
        <v>37</v>
      </c>
      <c r="K54" s="11" t="n">
        <v>26</v>
      </c>
      <c r="L54" s="11" t="str">
        <f aca="false">IF(K54="","Unknown",IF(K54&lt;18,"Under 18",IF(K54&lt;25,"18-24",IF(K54&lt;35,"25-34",IF(K54&lt;45,"35-44",IF(K54&lt;55,"45-54","55+"))))))</f>
        <v>25-34</v>
      </c>
      <c r="M54" s="11"/>
      <c r="N54" s="11"/>
      <c r="O54" s="11" t="s">
        <v>259</v>
      </c>
      <c r="P54" s="11"/>
      <c r="Q54" s="11" t="s">
        <v>191</v>
      </c>
      <c r="R54" s="11" t="s">
        <v>549</v>
      </c>
      <c r="S54" s="11" t="str">
        <f aca="false">IFERROR(VLOOKUP(F54,Locations!$I$5:$J$60,2,FALSE()),"Not mapped")</f>
        <v>South</v>
      </c>
      <c r="T54" s="11" t="s">
        <v>550</v>
      </c>
      <c r="U54" s="11"/>
      <c r="V54" s="11"/>
      <c r="W54" s="11"/>
      <c r="X54" s="11"/>
      <c r="Y54" s="11"/>
      <c r="Z54" s="11"/>
      <c r="AA54" s="12" t="s">
        <v>551</v>
      </c>
    </row>
    <row r="55" customFormat="false" ht="23.85" hidden="false" customHeight="false" outlineLevel="0" collapsed="false">
      <c r="A55" s="11" t="s">
        <v>552</v>
      </c>
      <c r="B55" s="11" t="s">
        <v>3</v>
      </c>
      <c r="C55" s="11" t="s">
        <v>399</v>
      </c>
      <c r="D55" s="11" t="n">
        <v>2024</v>
      </c>
      <c r="E55" s="11" t="s">
        <v>464</v>
      </c>
      <c r="F55" s="11" t="s">
        <v>227</v>
      </c>
      <c r="G55" s="11" t="s">
        <v>391</v>
      </c>
      <c r="H55" s="11" t="s">
        <v>265</v>
      </c>
      <c r="I55" s="11" t="s">
        <v>553</v>
      </c>
      <c r="J55" s="11" t="s">
        <v>47</v>
      </c>
      <c r="K55" s="11" t="n">
        <v>20</v>
      </c>
      <c r="L55" s="11" t="str">
        <f aca="false">IF(K55="","Unknown",IF(K55&lt;18,"Under 18",IF(K55&lt;25,"18-24",IF(K55&lt;35,"25-34",IF(K55&lt;45,"35-44",IF(K55&lt;55,"45-54","55+"))))))</f>
        <v>18-24</v>
      </c>
      <c r="M55" s="11"/>
      <c r="N55" s="11"/>
      <c r="O55" s="11" t="s">
        <v>265</v>
      </c>
      <c r="P55" s="11"/>
      <c r="Q55" s="11" t="s">
        <v>187</v>
      </c>
      <c r="R55" s="11" t="s">
        <v>554</v>
      </c>
      <c r="S55" s="11" t="str">
        <f aca="false">IFERROR(VLOOKUP(F55,Locations!$I$5:$J$60,2,FALSE()),"Not mapped")</f>
        <v>South</v>
      </c>
      <c r="T55" s="11" t="s">
        <v>555</v>
      </c>
      <c r="U55" s="11" t="s">
        <v>556</v>
      </c>
      <c r="V55" s="11"/>
      <c r="W55" s="11"/>
      <c r="X55" s="11"/>
      <c r="Y55" s="11"/>
      <c r="Z55" s="11"/>
      <c r="AA55" s="12" t="s">
        <v>61</v>
      </c>
    </row>
    <row r="56" customFormat="false" ht="15" hidden="false" customHeight="false" outlineLevel="0" collapsed="false">
      <c r="A56" s="11" t="s">
        <v>557</v>
      </c>
      <c r="B56" s="11" t="s">
        <v>3</v>
      </c>
      <c r="C56" s="11" t="s">
        <v>399</v>
      </c>
      <c r="D56" s="11" t="n">
        <v>2026</v>
      </c>
      <c r="E56" s="11" t="s">
        <v>558</v>
      </c>
      <c r="F56" s="11" t="s">
        <v>229</v>
      </c>
      <c r="G56" s="11" t="s">
        <v>391</v>
      </c>
      <c r="H56" s="11" t="s">
        <v>265</v>
      </c>
      <c r="I56" s="11"/>
      <c r="J56" s="11" t="s">
        <v>47</v>
      </c>
      <c r="K56" s="11" t="n">
        <v>22</v>
      </c>
      <c r="L56" s="11" t="str">
        <f aca="false">IF(K56="","Unknown",IF(K56&lt;18,"Under 18",IF(K56&lt;25,"18-24",IF(K56&lt;35,"25-34",IF(K56&lt;45,"35-44",IF(K56&lt;55,"45-54","55+"))))))</f>
        <v>18-24</v>
      </c>
      <c r="M56" s="11"/>
      <c r="N56" s="11"/>
      <c r="O56" s="11" t="s">
        <v>265</v>
      </c>
      <c r="P56" s="11"/>
      <c r="Q56" s="11" t="s">
        <v>47</v>
      </c>
      <c r="R56" s="11"/>
      <c r="S56" s="11" t="str">
        <f aca="false">IFERROR(VLOOKUP(F56,Locations!$I$5:$J$60,2,FALSE()),"Not mapped")</f>
        <v>South</v>
      </c>
      <c r="T56" s="11"/>
      <c r="U56" s="11"/>
      <c r="V56" s="11"/>
      <c r="W56" s="11"/>
      <c r="X56" s="11"/>
      <c r="Y56" s="11"/>
      <c r="Z56" s="11"/>
      <c r="AA56" s="12" t="s">
        <v>77</v>
      </c>
    </row>
    <row r="57" customFormat="false" ht="15" hidden="false" customHeight="false" outlineLevel="0" collapsed="false">
      <c r="A57" s="11" t="s">
        <v>559</v>
      </c>
      <c r="B57" s="11" t="s">
        <v>3</v>
      </c>
      <c r="C57" s="11" t="s">
        <v>453</v>
      </c>
      <c r="D57" s="11" t="n">
        <v>2026</v>
      </c>
      <c r="E57" s="11" t="s">
        <v>454</v>
      </c>
      <c r="F57" s="11" t="s">
        <v>198</v>
      </c>
      <c r="G57" s="11" t="s">
        <v>391</v>
      </c>
      <c r="H57" s="11" t="s">
        <v>265</v>
      </c>
      <c r="I57" s="11" t="s">
        <v>560</v>
      </c>
      <c r="J57" s="11" t="s">
        <v>47</v>
      </c>
      <c r="K57" s="11" t="n">
        <v>22</v>
      </c>
      <c r="L57" s="11" t="str">
        <f aca="false">IF(K57="","Unknown",IF(K57&lt;18,"Under 18",IF(K57&lt;25,"18-24",IF(K57&lt;35,"25-34",IF(K57&lt;45,"35-44",IF(K57&lt;55,"45-54","55+"))))))</f>
        <v>18-24</v>
      </c>
      <c r="M57" s="11"/>
      <c r="N57" s="11"/>
      <c r="O57" s="11" t="s">
        <v>265</v>
      </c>
      <c r="P57" s="11"/>
      <c r="Q57" s="11" t="s">
        <v>189</v>
      </c>
      <c r="R57" s="11" t="s">
        <v>561</v>
      </c>
      <c r="S57" s="11" t="str">
        <f aca="false">IFERROR(VLOOKUP(F57,Locations!$I$5:$J$60,2,FALSE()),"Not mapped")</f>
        <v>Midwest</v>
      </c>
      <c r="T57" s="11"/>
      <c r="U57" s="11"/>
      <c r="V57" s="11"/>
      <c r="W57" s="11"/>
      <c r="X57" s="11"/>
      <c r="Y57" s="11"/>
      <c r="Z57" s="11"/>
      <c r="AA57" s="12" t="s">
        <v>73</v>
      </c>
    </row>
    <row r="58" customFormat="false" ht="15" hidden="false" customHeight="false" outlineLevel="0" collapsed="false">
      <c r="A58" s="11" t="s">
        <v>562</v>
      </c>
      <c r="B58" s="11" t="s">
        <v>4</v>
      </c>
      <c r="C58" s="11" t="s">
        <v>563</v>
      </c>
      <c r="D58" s="11" t="n">
        <v>1966</v>
      </c>
      <c r="E58" s="11" t="s">
        <v>412</v>
      </c>
      <c r="F58" s="11" t="s">
        <v>241</v>
      </c>
      <c r="G58" s="11" t="s">
        <v>564</v>
      </c>
      <c r="H58" s="11" t="s">
        <v>10</v>
      </c>
      <c r="I58" s="11" t="s">
        <v>565</v>
      </c>
      <c r="J58" s="11" t="s">
        <v>47</v>
      </c>
      <c r="K58" s="11" t="n">
        <v>23</v>
      </c>
      <c r="L58" s="11" t="str">
        <f aca="false">IF(K58="","Unknown",IF(K58&lt;18,"Under 18",IF(K58&lt;25,"18-24",IF(K58&lt;35,"25-34",IF(K58&lt;45,"35-44",IF(K58&lt;55,"45-54","55+"))))))</f>
        <v>18-24</v>
      </c>
      <c r="M58" s="11"/>
      <c r="N58" s="11"/>
      <c r="O58" s="11" t="s">
        <v>260</v>
      </c>
      <c r="P58" s="11"/>
      <c r="Q58" s="11" t="s">
        <v>189</v>
      </c>
      <c r="R58" s="11" t="s">
        <v>566</v>
      </c>
      <c r="S58" s="11" t="str">
        <f aca="false">IFERROR(VLOOKUP(F58,Locations!$I$5:$J$60,2,FALSE()),"Not mapped")</f>
        <v>West</v>
      </c>
      <c r="T58" s="11"/>
      <c r="U58" s="11"/>
      <c r="V58" s="11"/>
      <c r="W58" s="11"/>
      <c r="X58" s="11"/>
      <c r="Y58" s="11"/>
      <c r="Z58" s="11"/>
      <c r="AA58" s="12" t="s">
        <v>567</v>
      </c>
    </row>
    <row r="59" customFormat="false" ht="23.85" hidden="false" customHeight="false" outlineLevel="0" collapsed="false">
      <c r="A59" s="11" t="s">
        <v>274</v>
      </c>
      <c r="B59" s="11" t="s">
        <v>4</v>
      </c>
      <c r="C59" s="11" t="s">
        <v>568</v>
      </c>
      <c r="D59" s="11" t="n">
        <v>1980</v>
      </c>
      <c r="E59" s="11" t="s">
        <v>390</v>
      </c>
      <c r="F59" s="11" t="s">
        <v>179</v>
      </c>
      <c r="G59" s="11" t="s">
        <v>391</v>
      </c>
      <c r="H59" s="11" t="s">
        <v>6</v>
      </c>
      <c r="I59" s="11" t="s">
        <v>569</v>
      </c>
      <c r="J59" s="11" t="s">
        <v>41</v>
      </c>
      <c r="K59" s="11" t="n">
        <v>40</v>
      </c>
      <c r="L59" s="11" t="str">
        <f aca="false">IF(K59="","Unknown",IF(K59&lt;18,"Under 18",IF(K59&lt;25,"18-24",IF(K59&lt;35,"25-34",IF(K59&lt;45,"35-44",IF(K59&lt;55,"45-54","55+"))))))</f>
        <v>35-44</v>
      </c>
      <c r="M59" s="11" t="n">
        <v>25</v>
      </c>
      <c r="N59" s="11"/>
      <c r="O59" s="11" t="s">
        <v>260</v>
      </c>
      <c r="P59" s="11" t="s">
        <v>260</v>
      </c>
      <c r="Q59" s="11" t="s">
        <v>181</v>
      </c>
      <c r="R59" s="11" t="s">
        <v>570</v>
      </c>
      <c r="S59" s="11" t="str">
        <f aca="false">IFERROR(VLOOKUP(F59,Locations!$I$5:$J$60,2,FALSE()),"Not mapped")</f>
        <v>Northeast</v>
      </c>
      <c r="T59" s="11"/>
      <c r="U59" s="11"/>
      <c r="V59" s="11"/>
      <c r="W59" s="11"/>
      <c r="X59" s="11"/>
      <c r="Y59" s="11"/>
      <c r="Z59" s="11"/>
      <c r="AA59" s="12" t="s">
        <v>571</v>
      </c>
    </row>
    <row r="60" customFormat="false" ht="15" hidden="false" customHeight="false" outlineLevel="0" collapsed="false">
      <c r="A60" s="11" t="s">
        <v>572</v>
      </c>
      <c r="B60" s="11" t="s">
        <v>4</v>
      </c>
      <c r="C60" s="11" t="s">
        <v>568</v>
      </c>
      <c r="D60" s="11" t="n">
        <v>1982</v>
      </c>
      <c r="E60" s="11" t="s">
        <v>573</v>
      </c>
      <c r="F60" s="11" t="s">
        <v>218</v>
      </c>
      <c r="G60" s="11" t="s">
        <v>391</v>
      </c>
      <c r="H60" s="11" t="s">
        <v>8</v>
      </c>
      <c r="I60" s="11"/>
      <c r="J60" s="11" t="s">
        <v>47</v>
      </c>
      <c r="K60" s="11" t="n">
        <v>36</v>
      </c>
      <c r="L60" s="11" t="str">
        <f aca="false">IF(K60="","Unknown",IF(K60&lt;18,"Under 18",IF(K60&lt;25,"18-24",IF(K60&lt;35,"25-34",IF(K60&lt;45,"35-44",IF(K60&lt;55,"45-54","55+"))))))</f>
        <v>35-44</v>
      </c>
      <c r="M60" s="11"/>
      <c r="N60" s="11"/>
      <c r="O60" s="11" t="s">
        <v>260</v>
      </c>
      <c r="P60" s="11"/>
      <c r="Q60" s="11" t="s">
        <v>47</v>
      </c>
      <c r="R60" s="11"/>
      <c r="S60" s="11" t="str">
        <f aca="false">IFERROR(VLOOKUP(F60,Locations!$I$5:$J$60,2,FALSE()),"Not mapped")</f>
        <v>South</v>
      </c>
      <c r="T60" s="11"/>
      <c r="U60" s="11"/>
      <c r="V60" s="11"/>
      <c r="W60" s="11"/>
      <c r="X60" s="11"/>
      <c r="Y60" s="11"/>
      <c r="Z60" s="11"/>
      <c r="AA60" s="12" t="s">
        <v>571</v>
      </c>
    </row>
    <row r="61" customFormat="false" ht="15" hidden="false" customHeight="false" outlineLevel="0" collapsed="false">
      <c r="A61" s="11" t="s">
        <v>574</v>
      </c>
      <c r="B61" s="11" t="s">
        <v>4</v>
      </c>
      <c r="C61" s="11" t="s">
        <v>575</v>
      </c>
      <c r="D61" s="11" t="n">
        <v>1983</v>
      </c>
      <c r="E61" s="11" t="s">
        <v>390</v>
      </c>
      <c r="F61" s="11" t="s">
        <v>179</v>
      </c>
      <c r="G61" s="11" t="s">
        <v>391</v>
      </c>
      <c r="H61" s="11" t="s">
        <v>6</v>
      </c>
      <c r="I61" s="11" t="s">
        <v>576</v>
      </c>
      <c r="J61" s="11" t="s">
        <v>40</v>
      </c>
      <c r="K61" s="11" t="n">
        <v>43</v>
      </c>
      <c r="L61" s="11" t="str">
        <f aca="false">IF(K61="","Unknown",IF(K61&lt;18,"Under 18",IF(K61&lt;25,"18-24",IF(K61&lt;35,"25-34",IF(K61&lt;45,"35-44",IF(K61&lt;55,"45-54","55+"))))))</f>
        <v>35-44</v>
      </c>
      <c r="M61" s="11"/>
      <c r="N61" s="11"/>
      <c r="O61" s="11" t="s">
        <v>260</v>
      </c>
      <c r="P61" s="11"/>
      <c r="Q61" s="11" t="s">
        <v>181</v>
      </c>
      <c r="R61" s="11" t="s">
        <v>577</v>
      </c>
      <c r="S61" s="11" t="str">
        <f aca="false">IFERROR(VLOOKUP(F61,Locations!$I$5:$J$60,2,FALSE()),"Not mapped")</f>
        <v>Northeast</v>
      </c>
      <c r="T61" s="11"/>
      <c r="U61" s="11"/>
      <c r="V61" s="11"/>
      <c r="W61" s="11"/>
      <c r="X61" s="11"/>
      <c r="Y61" s="11"/>
      <c r="Z61" s="11"/>
      <c r="AA61" s="12" t="s">
        <v>571</v>
      </c>
    </row>
    <row r="62" customFormat="false" ht="23.85" hidden="false" customHeight="false" outlineLevel="0" collapsed="false">
      <c r="A62" s="11" t="s">
        <v>578</v>
      </c>
      <c r="B62" s="11" t="s">
        <v>4</v>
      </c>
      <c r="C62" s="11" t="s">
        <v>563</v>
      </c>
      <c r="D62" s="11" t="n">
        <v>1983</v>
      </c>
      <c r="E62" s="11" t="s">
        <v>579</v>
      </c>
      <c r="F62" s="11" t="s">
        <v>201</v>
      </c>
      <c r="G62" s="11" t="s">
        <v>580</v>
      </c>
      <c r="H62" s="11" t="s">
        <v>6</v>
      </c>
      <c r="I62" s="11" t="s">
        <v>581</v>
      </c>
      <c r="J62" s="11" t="s">
        <v>40</v>
      </c>
      <c r="K62" s="11" t="n">
        <v>40</v>
      </c>
      <c r="L62" s="11" t="str">
        <f aca="false">IF(K62="","Unknown",IF(K62&lt;18,"Under 18",IF(K62&lt;25,"18-24",IF(K62&lt;35,"25-34",IF(K62&lt;45,"35-44",IF(K62&lt;55,"45-54","55+"))))))</f>
        <v>35-44</v>
      </c>
      <c r="M62" s="11"/>
      <c r="N62" s="11"/>
      <c r="O62" s="11" t="s">
        <v>260</v>
      </c>
      <c r="P62" s="11"/>
      <c r="Q62" s="11" t="s">
        <v>47</v>
      </c>
      <c r="R62" s="11"/>
      <c r="S62" s="11" t="str">
        <f aca="false">IFERROR(VLOOKUP(F62,Locations!$I$5:$J$60,2,FALSE()),"Not mapped")</f>
        <v>Midwest</v>
      </c>
      <c r="T62" s="11"/>
      <c r="U62" s="11"/>
      <c r="V62" s="11"/>
      <c r="W62" s="11"/>
      <c r="X62" s="11"/>
      <c r="Y62" s="11"/>
      <c r="Z62" s="11"/>
      <c r="AA62" s="12" t="s">
        <v>582</v>
      </c>
    </row>
    <row r="63" customFormat="false" ht="15" hidden="false" customHeight="false" outlineLevel="0" collapsed="false">
      <c r="A63" s="11" t="s">
        <v>583</v>
      </c>
      <c r="B63" s="11" t="s">
        <v>4</v>
      </c>
      <c r="C63" s="11" t="s">
        <v>584</v>
      </c>
      <c r="D63" s="11" t="n">
        <v>1987</v>
      </c>
      <c r="E63" s="11" t="s">
        <v>585</v>
      </c>
      <c r="F63" s="11" t="s">
        <v>179</v>
      </c>
      <c r="G63" s="11" t="s">
        <v>391</v>
      </c>
      <c r="H63" s="11" t="s">
        <v>8</v>
      </c>
      <c r="I63" s="11"/>
      <c r="J63" s="11" t="s">
        <v>47</v>
      </c>
      <c r="K63" s="11" t="n">
        <v>41</v>
      </c>
      <c r="L63" s="11" t="str">
        <f aca="false">IF(K63="","Unknown",IF(K63&lt;18,"Under 18",IF(K63&lt;25,"18-24",IF(K63&lt;35,"25-34",IF(K63&lt;45,"35-44",IF(K63&lt;55,"45-54","55+"))))))</f>
        <v>35-44</v>
      </c>
      <c r="M63" s="11"/>
      <c r="N63" s="11"/>
      <c r="O63" s="11" t="s">
        <v>260</v>
      </c>
      <c r="P63" s="11"/>
      <c r="Q63" s="11" t="s">
        <v>181</v>
      </c>
      <c r="R63" s="11" t="s">
        <v>586</v>
      </c>
      <c r="S63" s="11" t="str">
        <f aca="false">IFERROR(VLOOKUP(F63,Locations!$I$5:$J$60,2,FALSE()),"Not mapped")</f>
        <v>Northeast</v>
      </c>
      <c r="T63" s="11"/>
      <c r="U63" s="11"/>
      <c r="V63" s="11"/>
      <c r="W63" s="11"/>
      <c r="X63" s="11"/>
      <c r="Y63" s="11"/>
      <c r="Z63" s="11"/>
      <c r="AA63" s="12" t="s">
        <v>571</v>
      </c>
    </row>
    <row r="64" customFormat="false" ht="46.25" hidden="false" customHeight="false" outlineLevel="0" collapsed="false">
      <c r="A64" s="11" t="s">
        <v>275</v>
      </c>
      <c r="B64" s="11" t="s">
        <v>4</v>
      </c>
      <c r="C64" s="11" t="s">
        <v>587</v>
      </c>
      <c r="D64" s="11" t="n">
        <v>1993</v>
      </c>
      <c r="E64" s="11" t="s">
        <v>588</v>
      </c>
      <c r="F64" s="11" t="s">
        <v>245</v>
      </c>
      <c r="G64" s="11" t="s">
        <v>589</v>
      </c>
      <c r="H64" s="11" t="s">
        <v>6</v>
      </c>
      <c r="I64" s="11" t="s">
        <v>590</v>
      </c>
      <c r="J64" s="11" t="s">
        <v>38</v>
      </c>
      <c r="K64" s="11" t="n">
        <v>27</v>
      </c>
      <c r="L64" s="11" t="str">
        <f aca="false">IF(K64="","Unknown",IF(K64&lt;18,"Under 18",IF(K64&lt;25,"18-24",IF(K64&lt;35,"25-34",IF(K64&lt;45,"35-44",IF(K64&lt;55,"45-54","55+"))))))</f>
        <v>25-34</v>
      </c>
      <c r="M64" s="11" t="n">
        <v>38</v>
      </c>
      <c r="N64" s="11"/>
      <c r="O64" s="11" t="s">
        <v>265</v>
      </c>
      <c r="P64" s="11" t="s">
        <v>276</v>
      </c>
      <c r="Q64" s="11" t="s">
        <v>187</v>
      </c>
      <c r="R64" s="11" t="s">
        <v>591</v>
      </c>
      <c r="S64" s="11" t="str">
        <f aca="false">IFERROR(VLOOKUP(F64,Locations!$I$5:$J$60,2,FALSE()),"Not mapped")</f>
        <v>West</v>
      </c>
      <c r="T64" s="11"/>
      <c r="U64" s="11"/>
      <c r="V64" s="11"/>
      <c r="W64" s="11"/>
      <c r="X64" s="11"/>
      <c r="Y64" s="11" t="s">
        <v>592</v>
      </c>
      <c r="Z64" s="11"/>
      <c r="AA64" s="12" t="s">
        <v>593</v>
      </c>
    </row>
    <row r="65" customFormat="false" ht="23.85" hidden="false" customHeight="false" outlineLevel="0" collapsed="false">
      <c r="A65" s="11" t="s">
        <v>594</v>
      </c>
      <c r="B65" s="11" t="s">
        <v>4</v>
      </c>
      <c r="C65" s="11" t="s">
        <v>595</v>
      </c>
      <c r="D65" s="11" t="n">
        <v>1993</v>
      </c>
      <c r="E65" s="11" t="s">
        <v>443</v>
      </c>
      <c r="F65" s="11" t="s">
        <v>202</v>
      </c>
      <c r="G65" s="11" t="s">
        <v>391</v>
      </c>
      <c r="H65" s="11" t="s">
        <v>7</v>
      </c>
      <c r="I65" s="11" t="s">
        <v>596</v>
      </c>
      <c r="J65" s="11" t="s">
        <v>39</v>
      </c>
      <c r="K65" s="11" t="n">
        <v>23</v>
      </c>
      <c r="L65" s="11" t="str">
        <f aca="false">IF(K65="","Unknown",IF(K65&lt;18,"Under 18",IF(K65&lt;25,"18-24",IF(K65&lt;35,"25-34",IF(K65&lt;45,"35-44",IF(K65&lt;55,"45-54","55+"))))))</f>
        <v>18-24</v>
      </c>
      <c r="M65" s="11" t="n">
        <v>23</v>
      </c>
      <c r="N65" s="11"/>
      <c r="O65" s="11" t="s">
        <v>265</v>
      </c>
      <c r="P65" s="11"/>
      <c r="Q65" s="11" t="s">
        <v>181</v>
      </c>
      <c r="R65" s="11" t="s">
        <v>597</v>
      </c>
      <c r="S65" s="11" t="str">
        <f aca="false">IFERROR(VLOOKUP(F65,Locations!$I$5:$J$60,2,FALSE()),"Not mapped")</f>
        <v>Midwest</v>
      </c>
      <c r="T65" s="11"/>
      <c r="U65" s="11"/>
      <c r="V65" s="11"/>
      <c r="W65" s="11"/>
      <c r="X65" s="11"/>
      <c r="Y65" s="11"/>
      <c r="Z65" s="11"/>
      <c r="AA65" s="12" t="s">
        <v>598</v>
      </c>
    </row>
    <row r="66" customFormat="false" ht="15" hidden="false" customHeight="false" outlineLevel="0" collapsed="false">
      <c r="A66" s="11" t="s">
        <v>599</v>
      </c>
      <c r="B66" s="11" t="s">
        <v>4</v>
      </c>
      <c r="C66" s="11" t="s">
        <v>600</v>
      </c>
      <c r="D66" s="11" t="n">
        <v>1994</v>
      </c>
      <c r="E66" s="11" t="s">
        <v>471</v>
      </c>
      <c r="F66" s="11" t="s">
        <v>219</v>
      </c>
      <c r="G66" s="11" t="s">
        <v>391</v>
      </c>
      <c r="H66" s="11" t="s">
        <v>8</v>
      </c>
      <c r="I66" s="11"/>
      <c r="J66" s="11" t="s">
        <v>47</v>
      </c>
      <c r="K66" s="11" t="n">
        <v>37</v>
      </c>
      <c r="L66" s="11" t="str">
        <f aca="false">IF(K66="","Unknown",IF(K66&lt;18,"Under 18",IF(K66&lt;25,"18-24",IF(K66&lt;35,"25-34",IF(K66&lt;45,"35-44",IF(K66&lt;55,"45-54","55+"))))))</f>
        <v>35-44</v>
      </c>
      <c r="M66" s="11"/>
      <c r="N66" s="11"/>
      <c r="O66" s="11" t="s">
        <v>260</v>
      </c>
      <c r="P66" s="11"/>
      <c r="Q66" s="11" t="s">
        <v>47</v>
      </c>
      <c r="R66" s="11"/>
      <c r="S66" s="11" t="str">
        <f aca="false">IFERROR(VLOOKUP(F66,Locations!$I$5:$J$60,2,FALSE()),"Not mapped")</f>
        <v>South</v>
      </c>
      <c r="T66" s="11"/>
      <c r="U66" s="11"/>
      <c r="V66" s="11"/>
      <c r="W66" s="11"/>
      <c r="X66" s="11"/>
      <c r="Y66" s="11"/>
      <c r="Z66" s="11"/>
      <c r="AA66" s="12" t="s">
        <v>571</v>
      </c>
    </row>
    <row r="67" customFormat="false" ht="23.85" hidden="false" customHeight="false" outlineLevel="0" collapsed="false">
      <c r="A67" s="11" t="s">
        <v>277</v>
      </c>
      <c r="B67" s="11" t="s">
        <v>4</v>
      </c>
      <c r="C67" s="11" t="s">
        <v>601</v>
      </c>
      <c r="D67" s="11" t="n">
        <v>1997</v>
      </c>
      <c r="E67" s="11" t="s">
        <v>602</v>
      </c>
      <c r="F67" s="11" t="s">
        <v>217</v>
      </c>
      <c r="G67" s="11" t="s">
        <v>603</v>
      </c>
      <c r="H67" s="11" t="s">
        <v>6</v>
      </c>
      <c r="I67" s="11" t="s">
        <v>604</v>
      </c>
      <c r="J67" s="11" t="s">
        <v>42</v>
      </c>
      <c r="K67" s="11" t="n">
        <v>19</v>
      </c>
      <c r="L67" s="11" t="str">
        <f aca="false">IF(K67="","Unknown",IF(K67&lt;18,"Under 18",IF(K67&lt;25,"18-24",IF(K67&lt;35,"25-34",IF(K67&lt;45,"35-44",IF(K67&lt;55,"45-54","55+"))))))</f>
        <v>18-24</v>
      </c>
      <c r="M67" s="11" t="n">
        <v>17</v>
      </c>
      <c r="N67" s="11"/>
      <c r="O67" s="11" t="s">
        <v>260</v>
      </c>
      <c r="P67" s="11" t="s">
        <v>260</v>
      </c>
      <c r="Q67" s="11" t="s">
        <v>191</v>
      </c>
      <c r="R67" s="11" t="s">
        <v>605</v>
      </c>
      <c r="S67" s="11" t="str">
        <f aca="false">IFERROR(VLOOKUP(F67,Locations!$I$5:$J$60,2,FALSE()),"Not mapped")</f>
        <v>South</v>
      </c>
      <c r="T67" s="11" t="s">
        <v>606</v>
      </c>
      <c r="U67" s="11"/>
      <c r="V67" s="11"/>
      <c r="W67" s="11"/>
      <c r="X67" s="11"/>
      <c r="Y67" s="11" t="s">
        <v>607</v>
      </c>
      <c r="Z67" s="11"/>
      <c r="AA67" s="12" t="s">
        <v>127</v>
      </c>
    </row>
    <row r="68" customFormat="false" ht="35.05" hidden="false" customHeight="false" outlineLevel="0" collapsed="false">
      <c r="A68" s="11" t="s">
        <v>278</v>
      </c>
      <c r="B68" s="11" t="s">
        <v>4</v>
      </c>
      <c r="C68" s="11" t="s">
        <v>608</v>
      </c>
      <c r="D68" s="11" t="n">
        <v>1998</v>
      </c>
      <c r="E68" s="11" t="s">
        <v>405</v>
      </c>
      <c r="F68" s="11" t="s">
        <v>242</v>
      </c>
      <c r="G68" s="11" t="s">
        <v>609</v>
      </c>
      <c r="H68" s="11" t="s">
        <v>6</v>
      </c>
      <c r="I68" s="11" t="s">
        <v>610</v>
      </c>
      <c r="J68" s="11" t="s">
        <v>42</v>
      </c>
      <c r="K68" s="11" t="n">
        <v>24</v>
      </c>
      <c r="L68" s="11" t="str">
        <f aca="false">IF(K68="","Unknown",IF(K68&lt;18,"Under 18",IF(K68&lt;25,"18-24",IF(K68&lt;35,"25-34",IF(K68&lt;45,"35-44",IF(K68&lt;55,"45-54","55+"))))))</f>
        <v>18-24</v>
      </c>
      <c r="M68" s="11" t="n">
        <v>26</v>
      </c>
      <c r="N68" s="11" t="s">
        <v>611</v>
      </c>
      <c r="O68" s="11" t="s">
        <v>259</v>
      </c>
      <c r="P68" s="11" t="s">
        <v>279</v>
      </c>
      <c r="Q68" s="11" t="s">
        <v>200</v>
      </c>
      <c r="R68" s="11" t="s">
        <v>612</v>
      </c>
      <c r="S68" s="11" t="str">
        <f aca="false">IFERROR(VLOOKUP(F68,Locations!$I$5:$J$60,2,FALSE()),"Not mapped")</f>
        <v>West</v>
      </c>
      <c r="T68" s="11" t="s">
        <v>613</v>
      </c>
      <c r="U68" s="11"/>
      <c r="V68" s="11"/>
      <c r="W68" s="11"/>
      <c r="X68" s="11"/>
      <c r="Y68" s="11" t="s">
        <v>614</v>
      </c>
      <c r="Z68" s="11"/>
      <c r="AA68" s="12" t="s">
        <v>615</v>
      </c>
    </row>
    <row r="69" customFormat="false" ht="23.85" hidden="false" customHeight="false" outlineLevel="0" collapsed="false">
      <c r="A69" s="11" t="s">
        <v>616</v>
      </c>
      <c r="B69" s="11" t="s">
        <v>4</v>
      </c>
      <c r="C69" s="11" t="s">
        <v>568</v>
      </c>
      <c r="D69" s="11" t="n">
        <v>1998</v>
      </c>
      <c r="E69" s="11" t="s">
        <v>617</v>
      </c>
      <c r="F69" s="11" t="s">
        <v>233</v>
      </c>
      <c r="G69" s="11" t="s">
        <v>618</v>
      </c>
      <c r="H69" s="11" t="s">
        <v>6</v>
      </c>
      <c r="I69" s="11" t="s">
        <v>619</v>
      </c>
      <c r="J69" s="11" t="s">
        <v>38</v>
      </c>
      <c r="K69" s="11" t="n">
        <v>53</v>
      </c>
      <c r="L69" s="11" t="str">
        <f aca="false">IF(K69="","Unknown",IF(K69&lt;18,"Under 18",IF(K69&lt;25,"18-24",IF(K69&lt;35,"25-34",IF(K69&lt;45,"35-44",IF(K69&lt;55,"45-54","55+"))))))</f>
        <v>45-54</v>
      </c>
      <c r="M69" s="11"/>
      <c r="N69" s="11"/>
      <c r="O69" s="11" t="s">
        <v>260</v>
      </c>
      <c r="P69" s="11"/>
      <c r="Q69" s="11" t="s">
        <v>47</v>
      </c>
      <c r="R69" s="11"/>
      <c r="S69" s="11" t="str">
        <f aca="false">IFERROR(VLOOKUP(F69,Locations!$I$5:$J$60,2,FALSE()),"Not mapped")</f>
        <v>South</v>
      </c>
      <c r="T69" s="11"/>
      <c r="U69" s="11"/>
      <c r="V69" s="11"/>
      <c r="W69" s="11"/>
      <c r="X69" s="11"/>
      <c r="Y69" s="11"/>
      <c r="Z69" s="11"/>
      <c r="AA69" s="12" t="s">
        <v>571</v>
      </c>
    </row>
    <row r="70" customFormat="false" ht="15" hidden="false" customHeight="false" outlineLevel="0" collapsed="false">
      <c r="A70" s="11" t="s">
        <v>280</v>
      </c>
      <c r="B70" s="11" t="s">
        <v>4</v>
      </c>
      <c r="C70" s="11" t="s">
        <v>600</v>
      </c>
      <c r="D70" s="11" t="n">
        <v>2004</v>
      </c>
      <c r="E70" s="11" t="s">
        <v>620</v>
      </c>
      <c r="F70" s="11" t="s">
        <v>203</v>
      </c>
      <c r="G70" s="11" t="s">
        <v>621</v>
      </c>
      <c r="H70" s="11" t="s">
        <v>622</v>
      </c>
      <c r="I70" s="11" t="s">
        <v>623</v>
      </c>
      <c r="J70" s="11" t="s">
        <v>41</v>
      </c>
      <c r="K70" s="11" t="n">
        <v>38</v>
      </c>
      <c r="L70" s="11" t="str">
        <f aca="false">IF(K70="","Unknown",IF(K70&lt;18,"Under 18",IF(K70&lt;25,"18-24",IF(K70&lt;35,"25-34",IF(K70&lt;45,"35-44",IF(K70&lt;55,"45-54","55+"))))))</f>
        <v>35-44</v>
      </c>
      <c r="M70" s="11" t="n">
        <v>25</v>
      </c>
      <c r="N70" s="11"/>
      <c r="O70" s="11" t="s">
        <v>260</v>
      </c>
      <c r="P70" s="11" t="s">
        <v>260</v>
      </c>
      <c r="Q70" s="11" t="s">
        <v>183</v>
      </c>
      <c r="R70" s="11" t="s">
        <v>624</v>
      </c>
      <c r="S70" s="11" t="str">
        <f aca="false">IFERROR(VLOOKUP(F70,Locations!$I$5:$J$60,2,FALSE()),"Not mapped")</f>
        <v>Midwest</v>
      </c>
      <c r="T70" s="11"/>
      <c r="U70" s="11"/>
      <c r="V70" s="11"/>
      <c r="W70" s="11"/>
      <c r="X70" s="11"/>
      <c r="Y70" s="11"/>
      <c r="Z70" s="11"/>
      <c r="AA70" s="12" t="s">
        <v>571</v>
      </c>
    </row>
    <row r="71" customFormat="false" ht="23.85" hidden="false" customHeight="false" outlineLevel="0" collapsed="false">
      <c r="A71" s="11" t="s">
        <v>281</v>
      </c>
      <c r="B71" s="11" t="s">
        <v>4</v>
      </c>
      <c r="C71" s="11" t="s">
        <v>625</v>
      </c>
      <c r="D71" s="11" t="n">
        <v>2006</v>
      </c>
      <c r="E71" s="11" t="s">
        <v>626</v>
      </c>
      <c r="F71" s="11" t="s">
        <v>231</v>
      </c>
      <c r="G71" s="11" t="s">
        <v>627</v>
      </c>
      <c r="H71" s="11" t="s">
        <v>6</v>
      </c>
      <c r="I71" s="11" t="s">
        <v>628</v>
      </c>
      <c r="J71" s="11" t="s">
        <v>38</v>
      </c>
      <c r="K71" s="11" t="n">
        <v>49</v>
      </c>
      <c r="L71" s="11" t="str">
        <f aca="false">IF(K71="","Unknown",IF(K71&lt;18,"Under 18",IF(K71&lt;25,"18-24",IF(K71&lt;35,"25-34",IF(K71&lt;45,"35-44",IF(K71&lt;55,"45-54","55+"))))))</f>
        <v>45-54</v>
      </c>
      <c r="M71" s="11" t="n">
        <v>28</v>
      </c>
      <c r="N71" s="11"/>
      <c r="O71" s="11" t="s">
        <v>260</v>
      </c>
      <c r="P71" s="11" t="s">
        <v>259</v>
      </c>
      <c r="Q71" s="11" t="s">
        <v>181</v>
      </c>
      <c r="R71" s="11" t="s">
        <v>629</v>
      </c>
      <c r="S71" s="11" t="str">
        <f aca="false">IFERROR(VLOOKUP(F71,Locations!$I$5:$J$60,2,FALSE()),"Not mapped")</f>
        <v>South</v>
      </c>
      <c r="T71" s="11"/>
      <c r="U71" s="11"/>
      <c r="V71" s="11"/>
      <c r="W71" s="11"/>
      <c r="X71" s="11"/>
      <c r="Y71" s="11" t="s">
        <v>630</v>
      </c>
      <c r="Z71" s="11" t="s">
        <v>631</v>
      </c>
      <c r="AA71" s="12" t="s">
        <v>89</v>
      </c>
    </row>
    <row r="72" customFormat="false" ht="23.85" hidden="false" customHeight="false" outlineLevel="0" collapsed="false">
      <c r="A72" s="11" t="s">
        <v>632</v>
      </c>
      <c r="B72" s="11" t="s">
        <v>4</v>
      </c>
      <c r="C72" s="11" t="s">
        <v>633</v>
      </c>
      <c r="D72" s="11" t="n">
        <v>2024</v>
      </c>
      <c r="E72" s="11" t="s">
        <v>507</v>
      </c>
      <c r="F72" s="11" t="s">
        <v>223</v>
      </c>
      <c r="G72" s="11" t="s">
        <v>580</v>
      </c>
      <c r="H72" s="11" t="s">
        <v>6</v>
      </c>
      <c r="I72" s="11" t="s">
        <v>634</v>
      </c>
      <c r="J72" s="11" t="s">
        <v>47</v>
      </c>
      <c r="K72" s="11" t="n">
        <v>48</v>
      </c>
      <c r="L72" s="11" t="str">
        <f aca="false">IF(K72="","Unknown",IF(K72&lt;18,"Under 18",IF(K72&lt;25,"18-24",IF(K72&lt;35,"25-34",IF(K72&lt;45,"35-44",IF(K72&lt;55,"45-54","55+"))))))</f>
        <v>45-54</v>
      </c>
      <c r="M72" s="11"/>
      <c r="N72" s="11" t="s">
        <v>635</v>
      </c>
      <c r="O72" s="11" t="s">
        <v>260</v>
      </c>
      <c r="P72" s="11"/>
      <c r="Q72" s="11" t="s">
        <v>183</v>
      </c>
      <c r="R72" s="11" t="s">
        <v>636</v>
      </c>
      <c r="S72" s="11" t="str">
        <f aca="false">IFERROR(VLOOKUP(F72,Locations!$I$5:$J$60,2,FALSE()),"Not mapped")</f>
        <v>South</v>
      </c>
      <c r="T72" s="11"/>
      <c r="U72" s="11"/>
      <c r="V72" s="11"/>
      <c r="W72" s="11"/>
      <c r="X72" s="11"/>
      <c r="Y72" s="11"/>
      <c r="Z72" s="11"/>
      <c r="AA72" s="12" t="s">
        <v>637</v>
      </c>
    </row>
  </sheetData>
  <hyperlinks>
    <hyperlink ref="AA2" r:id="rId1" display="https://www.xxlmag.com/current-status-murdered-rappers-cases/"/>
    <hyperlink ref="AA3" r:id="rId2" display="https://en.wikipedia.org/wiki/List_of_murdered_hip-hop_musicians"/>
    <hyperlink ref="AA4" r:id="rId3" display="https://en.wikipedia.org/wiki/List_of_murdered_hip-hop_musicians"/>
    <hyperlink ref="AA5" r:id="rId4" display="https://en.wikipedia.org/wiki/List_of_murdered_hip-hop_musicians"/>
    <hyperlink ref="AA6" r:id="rId5" display="https://en.wikipedia.org/wiki/List_of_murdered_hip-hop_musicians"/>
    <hyperlink ref="AA7" r:id="rId6" display="https://en.wikipedia.org/wiki/List_of_murdered_hip-hop_musicians"/>
    <hyperlink ref="AA8" r:id="rId7" display="https://www.aljazeera.com/news/2026/10/13/ex-gang-leader-gets-40-years-to-life-for-rapper-tupac-shakurs-1996-murder"/>
    <hyperlink ref="AA9" r:id="rId8" display="https://www.xxlmag.com/current-status-murdered-rappers-cases/"/>
    <hyperlink ref="AA10" r:id="rId9" display="https://en.wikipedia.org/wiki/List_of_murdered_hip-hop_musicians"/>
    <hyperlink ref="AA11" r:id="rId10" display="https://www.xxlmag.com/current-status-murdered-rappers-cases/"/>
    <hyperlink ref="AA12" r:id="rId11" display="https://www.yahoo.com/news/articles/exclusive-musician-murder-still-unsolved-180114128.html"/>
    <hyperlink ref="AA13" r:id="rId12" display="https://en.wikipedia.org/wiki/List_of_murdered_hip-hop_musicians"/>
    <hyperlink ref="AA14" r:id="rId13" display="https://www.aljazeera.com/news/2025/12/20/conviction-overturned-in-murder-of-rap-star-jam-master-jay-run-dmc-member"/>
    <hyperlink ref="AA15" r:id="rId14" display="https://en.wikipedia.org/wiki/List_of_murdered_hip-hop_musicians"/>
    <hyperlink ref="AA16" r:id="rId15" display="https://en.wikipedia.org/wiki/List_of_murdered_hip-hop_musicians"/>
    <hyperlink ref="AA17" r:id="rId16" display="https://www.xxlmag.com/current-status-murdered-rappers-cases/"/>
    <hyperlink ref="AA18" r:id="rId17" display="https://en.wikipedia.org/wiki/List_of_murdered_hip-hop_musicians"/>
    <hyperlink ref="AA19" r:id="rId18" display="https://en.wikipedia.org/wiki/List_of_murdered_hip-hop_musicians"/>
    <hyperlink ref="AA20" r:id="rId19" display="https://en.wikipedia.org/wiki/List_of_murdered_hip-hop_musicians"/>
    <hyperlink ref="AA21" r:id="rId20" display="https://en.wikipedia.org/wiki/List_of_murdered_hip-hop_musicians"/>
    <hyperlink ref="AA22" r:id="rId21" display="https://en.wikipedia.org/wiki/List_of_murdered_hip-hop_musicians"/>
    <hyperlink ref="AA23" r:id="rId22" display="https://en.wikipedia.org/wiki/List_of_murdered_hip-hop_musicians"/>
    <hyperlink ref="AA24" r:id="rId23" display="https://en.wikipedia.org/wiki/List_of_murdered_hip-hop_musicians"/>
    <hyperlink ref="AA25" r:id="rId24" display="https://en.wikipedia.org/wiki/List_of_murdered_hip-hop_musicians"/>
    <hyperlink ref="AA26" r:id="rId25" display="https://en.wikipedia.org/wiki/List_of_murdered_hip-hop_musicians"/>
    <hyperlink ref="AA27" r:id="rId26" display="https://en.wikipedia.org/wiki/List_of_murdered_hip-hop_musicians"/>
    <hyperlink ref="AA28" r:id="rId27" display="https://www.wave3.com/story/29285738/louisville-rapper-donnie-mcfly-dies-after-being-shot-monday/"/>
    <hyperlink ref="AA29" r:id="rId28" display="https://en.wikipedia.org/wiki/List_of_murdered_hip-hop_musicians"/>
    <hyperlink ref="AA30" r:id="rId29" display="https://en.wikipedia.org/wiki/List_of_murdered_hip-hop_musicians"/>
    <hyperlink ref="AA31" r:id="rId30" display="https://grokipedia.com/page/List_of_murdered_musicians"/>
    <hyperlink ref="AA32" r:id="rId31" display="https://en.wikipedia.org/wiki/List_of_murdered_hip-hop_musicians"/>
    <hyperlink ref="AA33" r:id="rId32" display="https://en.wikipedia.org/wiki/List_of_murdered_hip-hop_musicians"/>
    <hyperlink ref="AA34" r:id="rId33" display="https://en.wikipedia.org/wiki/List_of_murdered_hip-hop_musicians"/>
    <hyperlink ref="AA35" r:id="rId34" display="https://grokipedia.com/page/List_of_murdered_musicians"/>
    <hyperlink ref="AA36" r:id="rId35" display="https://www.xxlmag.com/pop-smoke-killer-apology/"/>
    <hyperlink ref="AA37" r:id="rId36" display="https://en.wikipedia.org/wiki/List_of_murdered_hip-hop_musicians"/>
    <hyperlink ref="AA38" r:id="rId37" display="https://en.wikipedia.org/wiki/List_of_murdered_hip-hop_musicians"/>
    <hyperlink ref="AA39" r:id="rId38" display="https://en.wikipedia.org/wiki/List_of_murdered_hip-hop_musicians"/>
    <hyperlink ref="AA40" r:id="rId39" display="https://www.fox4news.com/news/dallas-judge-weighs-rap-lyrics-evidence-before-yella-beezy-murder-trial"/>
    <hyperlink ref="AA41" r:id="rId40" display="https://grokipedia.com/page/List_of_murdered_musicians"/>
    <hyperlink ref="AA42" r:id="rId41" display="https://en.wikipedia.org/wiki/List_of_murdered_hip-hop_musicians"/>
    <hyperlink ref="AA43" r:id="rId42" display="https://www.fox26houston.com/news/houstons-rap-scene-mourns-another-shooting"/>
    <hyperlink ref="AA44" r:id="rId43" display="https://en.wikipedia.org/wiki/List_of_murdered_hip-hop_musicians"/>
    <hyperlink ref="AA45" r:id="rId44" display="https://en.wikipedia.org/wiki/List_of_murdered_hip-hop_musicians"/>
    <hyperlink ref="AA46" r:id="rId45" display="https://en.wikipedia.org/wiki/List_of_murdered_hip-hop_musicians"/>
    <hyperlink ref="AA47" r:id="rId46" display="https://en.wikipedia.org/wiki/List_of_murdered_hip-hop_musicians"/>
    <hyperlink ref="AA48" r:id="rId47" display="https://en.wikipedia.org/wiki/List_of_murdered_hip-hop_musicians"/>
    <hyperlink ref="AA49" r:id="rId48" display="https://en.wikipedia.org/wiki/List_of_murdered_hip-hop_musicians"/>
    <hyperlink ref="AA50" r:id="rId49" display="https://www.cbsnews.com/losangeles/news/pnb-rock-murder-killing-freddie-lee-trone-guilty-conviction-sentence"/>
    <hyperlink ref="AA51" r:id="rId50" display="https://www.fox26houston.com/news/houstons-rap-scene-mourns-another-shooting"/>
    <hyperlink ref="AA52" r:id="rId51" display="https://www.iheart.com/content/2026-02-12-takeoffs-murder-suspect-gets-trial-date/"/>
    <hyperlink ref="AA53" r:id="rId52" display="https://www.fox26houston.com/news/houstons-rap-scene-mourns-another-shooting"/>
    <hyperlink ref="AA54" r:id="rId53" display="https://en.wikipedia.org/wiki/Julio_Foolio"/>
    <hyperlink ref="AA55" r:id="rId54" display="https://jamn957.iheart.com/content/2024-08-15-est-gees-artist-est-lu-mike-reportedly-shot-killed"/>
    <hyperlink ref="AA56" r:id="rId55" display="https://en.wikipedia.org/wiki/List_of_murdered_hip-hop_musicians"/>
    <hyperlink ref="AA57" r:id="rId56" display="https://www.xxlmag.com/current-status-murdered-rappers-cases/"/>
    <hyperlink ref="AA58" r:id="rId57" display="https://www.michigandaily.com/arts/b-side/who-killed-bobby-fuller-a-forgotten-rockers-final-bow/"/>
    <hyperlink ref="AA59" r:id="rId58" display="https://en.wikipedia.org/wiki/List_of_murdered_musicians"/>
    <hyperlink ref="AA60" r:id="rId59" display="https://en.wikipedia.org/wiki/List_of_murdered_musicians"/>
    <hyperlink ref="AA61" r:id="rId60" display="https://en.wikipedia.org/wiki/List_of_murdered_musicians"/>
    <hyperlink ref="AA62" r:id="rId61" display="https://en.wikipedia.org/wiki/Walter_Scott_(singer)"/>
    <hyperlink ref="AA63" r:id="rId62" display="https://en.wikipedia.org/wiki/List_of_murdered_musicians"/>
    <hyperlink ref="AA64" r:id="rId63" display="https://en.wikipedia.org/wiki/The_Gits"/>
    <hyperlink ref="AA65" r:id="rId64" display="https://www.kktv.com/2026/05/20/man-accused-punk-rockers-death-1993-captured-after-decades-run/"/>
    <hyperlink ref="AA66" r:id="rId65" display="https://en.wikipedia.org/wiki/List_of_murdered_musicians"/>
    <hyperlink ref="AA67" r:id="rId66" display="https://en.wikipedia.org/wiki/Killing_of_Brian_Deneke"/>
    <hyperlink ref="AA68" r:id="rId67" display="https://en.wikipedia.org/wiki/Lin_Newborn"/>
    <hyperlink ref="AA69" r:id="rId68" display="https://en.wikipedia.org/wiki/List_of_murdered_musicians"/>
    <hyperlink ref="AA70" r:id="rId69" display="https://en.wikipedia.org/wiki/List_of_murdered_musicians"/>
    <hyperlink ref="AA71" r:id="rId70" display="https://en.wikipedia.org/wiki/2006_Richmond_spree_murders"/>
    <hyperlink ref="AA72" r:id="rId71" display="https://dailymemphian.com/article/67540/man-found-guilty-in-killing-of-memphis-musician-blake-rhea"/>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72"/>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Y3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16"/>
    <col collapsed="false" customWidth="true" hidden="false" outlineLevel="0" max="3" min="3" style="0" width="26"/>
    <col collapsed="false" customWidth="true" hidden="false" outlineLevel="0" max="4" min="4" style="0" width="8"/>
    <col collapsed="false" customWidth="true" hidden="false" outlineLevel="0" max="5" min="5" style="0" width="16"/>
    <col collapsed="false" customWidth="true" hidden="false" outlineLevel="0" max="6" min="6" style="0" width="7"/>
    <col collapsed="false" customWidth="true" hidden="false" outlineLevel="0" max="7" min="7" style="0" width="34"/>
    <col collapsed="false" customWidth="true" hidden="false" outlineLevel="0" max="8" min="8" style="0" width="10"/>
    <col collapsed="false" customWidth="true" hidden="false" outlineLevel="0" max="9" min="9" style="0" width="14"/>
    <col collapsed="false" customWidth="true" hidden="false" outlineLevel="0" max="10" min="10" style="0" width="40"/>
    <col collapsed="false" customWidth="true" hidden="false" outlineLevel="0" max="11" min="11" style="0" width="30"/>
    <col collapsed="false" customWidth="true" hidden="false" outlineLevel="0" max="12" min="12" style="0" width="10"/>
    <col collapsed="false" customWidth="true" hidden="false" outlineLevel="0" max="13" min="13" style="0" width="12"/>
    <col collapsed="false" customWidth="true" hidden="false" outlineLevel="0" max="14" min="14" style="0" width="24"/>
    <col collapsed="false" customWidth="true" hidden="false" outlineLevel="0" max="15" min="15" style="0" width="14"/>
    <col collapsed="false" customWidth="true" hidden="false" outlineLevel="0" max="16" min="16" style="0" width="20"/>
    <col collapsed="false" customWidth="true" hidden="false" outlineLevel="0" max="17" min="17" style="0" width="34"/>
    <col collapsed="false" customWidth="true" hidden="false" outlineLevel="0" max="18" min="18" style="0" width="12"/>
    <col collapsed="false" customWidth="true" hidden="false" outlineLevel="0" max="24" min="19" style="0" width="30"/>
    <col collapsed="false" customWidth="true" hidden="false" outlineLevel="0" max="25" min="25" style="0" width="40"/>
  </cols>
  <sheetData>
    <row r="1" customFormat="false" ht="52.2" hidden="false" customHeight="false" outlineLevel="0" collapsed="false">
      <c r="A1" s="7" t="s">
        <v>367</v>
      </c>
      <c r="B1" s="7" t="s">
        <v>50</v>
      </c>
      <c r="C1" s="7" t="s">
        <v>368</v>
      </c>
      <c r="D1" s="7" t="s">
        <v>638</v>
      </c>
      <c r="E1" s="7" t="s">
        <v>370</v>
      </c>
      <c r="F1" s="7" t="s">
        <v>174</v>
      </c>
      <c r="G1" s="7" t="s">
        <v>639</v>
      </c>
      <c r="H1" s="7" t="s">
        <v>640</v>
      </c>
      <c r="I1" s="7" t="s">
        <v>296</v>
      </c>
      <c r="J1" s="7" t="s">
        <v>641</v>
      </c>
      <c r="K1" s="7" t="s">
        <v>374</v>
      </c>
      <c r="L1" s="7" t="s">
        <v>642</v>
      </c>
      <c r="M1" s="7" t="s">
        <v>146</v>
      </c>
      <c r="N1" s="7" t="s">
        <v>378</v>
      </c>
      <c r="O1" s="7" t="s">
        <v>258</v>
      </c>
      <c r="P1" s="7" t="s">
        <v>176</v>
      </c>
      <c r="Q1" s="7" t="s">
        <v>380</v>
      </c>
      <c r="R1" s="7" t="s">
        <v>175</v>
      </c>
      <c r="S1" s="7" t="s">
        <v>381</v>
      </c>
      <c r="T1" s="7" t="s">
        <v>382</v>
      </c>
      <c r="U1" s="7" t="s">
        <v>383</v>
      </c>
      <c r="V1" s="7" t="s">
        <v>384</v>
      </c>
      <c r="W1" s="7" t="s">
        <v>385</v>
      </c>
      <c r="X1" s="7" t="s">
        <v>643</v>
      </c>
      <c r="Y1" s="7" t="s">
        <v>53</v>
      </c>
    </row>
    <row r="2" customFormat="false" ht="23.85" hidden="false" customHeight="false" outlineLevel="0" collapsed="false">
      <c r="A2" s="11" t="s">
        <v>644</v>
      </c>
      <c r="B2" s="11" t="s">
        <v>3</v>
      </c>
      <c r="C2" s="11" t="s">
        <v>399</v>
      </c>
      <c r="D2" s="11" t="n">
        <v>1992</v>
      </c>
      <c r="E2" s="11" t="s">
        <v>412</v>
      </c>
      <c r="F2" s="11" t="s">
        <v>241</v>
      </c>
      <c r="G2" s="11" t="s">
        <v>645</v>
      </c>
      <c r="H2" s="11" t="s">
        <v>646</v>
      </c>
      <c r="I2" s="11" t="s">
        <v>6</v>
      </c>
      <c r="J2" s="11" t="s">
        <v>647</v>
      </c>
      <c r="K2" s="11" t="s">
        <v>37</v>
      </c>
      <c r="L2" s="11"/>
      <c r="M2" s="11" t="str">
        <f aca="false">IF(L2="","Unknown",IF(L2&lt;18,"Under 18",IF(L2&lt;25,"18-24",IF(L2&lt;35,"25-34",IF(L2&lt;45,"35-44",IF(L2&lt;55,"45-54","55+"))))))</f>
        <v>Unknown</v>
      </c>
      <c r="N2" s="11"/>
      <c r="O2" s="11" t="s">
        <v>259</v>
      </c>
      <c r="P2" s="11" t="s">
        <v>187</v>
      </c>
      <c r="Q2" s="11" t="s">
        <v>648</v>
      </c>
      <c r="R2" s="11" t="str">
        <f aca="false">IFERROR(VLOOKUP(F2,Locations!$I$5:$J$60,2,FALSE()),"Not mapped")</f>
        <v>West</v>
      </c>
      <c r="S2" s="11"/>
      <c r="T2" s="11"/>
      <c r="U2" s="11"/>
      <c r="V2" s="11"/>
      <c r="W2" s="11"/>
      <c r="X2" s="11"/>
      <c r="Y2" s="12" t="s">
        <v>649</v>
      </c>
    </row>
    <row r="3" customFormat="false" ht="23.85" hidden="false" customHeight="false" outlineLevel="0" collapsed="false">
      <c r="A3" s="11" t="s">
        <v>650</v>
      </c>
      <c r="B3" s="11" t="s">
        <v>3</v>
      </c>
      <c r="C3" s="11" t="s">
        <v>399</v>
      </c>
      <c r="D3" s="11" t="n">
        <v>1992</v>
      </c>
      <c r="E3" s="11" t="s">
        <v>651</v>
      </c>
      <c r="F3" s="11" t="s">
        <v>241</v>
      </c>
      <c r="G3" s="11" t="s">
        <v>580</v>
      </c>
      <c r="H3" s="11" t="s">
        <v>646</v>
      </c>
      <c r="I3" s="11" t="s">
        <v>6</v>
      </c>
      <c r="J3" s="11" t="s">
        <v>652</v>
      </c>
      <c r="K3" s="11" t="s">
        <v>47</v>
      </c>
      <c r="L3" s="11" t="n">
        <v>17</v>
      </c>
      <c r="M3" s="11" t="str">
        <f aca="false">IF(L3="","Unknown",IF(L3&lt;18,"Under 18",IF(L3&lt;25,"18-24",IF(L3&lt;35,"25-34",IF(L3&lt;45,"35-44",IF(L3&lt;55,"45-54","55+"))))))</f>
        <v>Under 18</v>
      </c>
      <c r="N3" s="11" t="s">
        <v>653</v>
      </c>
      <c r="O3" s="11" t="s">
        <v>259</v>
      </c>
      <c r="P3" s="11" t="s">
        <v>47</v>
      </c>
      <c r="Q3" s="11"/>
      <c r="R3" s="11" t="str">
        <f aca="false">IFERROR(VLOOKUP(F3,Locations!$I$5:$J$60,2,FALSE()),"Not mapped")</f>
        <v>West</v>
      </c>
      <c r="S3" s="11"/>
      <c r="T3" s="11"/>
      <c r="U3" s="11"/>
      <c r="V3" s="11" t="s">
        <v>654</v>
      </c>
      <c r="W3" s="11"/>
      <c r="X3" s="11"/>
      <c r="Y3" s="12" t="s">
        <v>655</v>
      </c>
    </row>
    <row r="4" customFormat="false" ht="15" hidden="false" customHeight="false" outlineLevel="0" collapsed="false">
      <c r="A4" s="11" t="s">
        <v>656</v>
      </c>
      <c r="B4" s="11" t="s">
        <v>3</v>
      </c>
      <c r="C4" s="11" t="s">
        <v>399</v>
      </c>
      <c r="D4" s="11" t="n">
        <v>1993</v>
      </c>
      <c r="E4" s="11" t="s">
        <v>390</v>
      </c>
      <c r="F4" s="11" t="s">
        <v>179</v>
      </c>
      <c r="G4" s="11" t="s">
        <v>657</v>
      </c>
      <c r="H4" s="11" t="s">
        <v>646</v>
      </c>
      <c r="I4" s="11" t="s">
        <v>6</v>
      </c>
      <c r="J4" s="11" t="s">
        <v>658</v>
      </c>
      <c r="K4" s="11" t="s">
        <v>47</v>
      </c>
      <c r="L4" s="11" t="n">
        <v>19</v>
      </c>
      <c r="M4" s="11" t="str">
        <f aca="false">IF(L4="","Unknown",IF(L4&lt;18,"Under 18",IF(L4&lt;25,"18-24",IF(L4&lt;35,"25-34",IF(L4&lt;45,"35-44",IF(L4&lt;55,"45-54","55+"))))))</f>
        <v>18-24</v>
      </c>
      <c r="N4" s="11"/>
      <c r="O4" s="11" t="s">
        <v>259</v>
      </c>
      <c r="P4" s="11" t="s">
        <v>187</v>
      </c>
      <c r="Q4" s="11" t="s">
        <v>659</v>
      </c>
      <c r="R4" s="11" t="str">
        <f aca="false">IFERROR(VLOOKUP(F4,Locations!$I$5:$J$60,2,FALSE()),"Not mapped")</f>
        <v>Northeast</v>
      </c>
      <c r="S4" s="11"/>
      <c r="T4" s="11"/>
      <c r="U4" s="11"/>
      <c r="V4" s="11"/>
      <c r="W4" s="11"/>
      <c r="X4" s="11"/>
      <c r="Y4" s="12" t="s">
        <v>660</v>
      </c>
    </row>
    <row r="5" customFormat="false" ht="15" hidden="false" customHeight="false" outlineLevel="0" collapsed="false">
      <c r="A5" s="11" t="s">
        <v>661</v>
      </c>
      <c r="B5" s="11" t="s">
        <v>3</v>
      </c>
      <c r="C5" s="11" t="s">
        <v>399</v>
      </c>
      <c r="D5" s="11" t="n">
        <v>1993</v>
      </c>
      <c r="E5" s="11" t="s">
        <v>412</v>
      </c>
      <c r="F5" s="11" t="s">
        <v>241</v>
      </c>
      <c r="G5" s="11" t="s">
        <v>662</v>
      </c>
      <c r="H5" s="11" t="s">
        <v>646</v>
      </c>
      <c r="I5" s="11" t="s">
        <v>663</v>
      </c>
      <c r="J5" s="11" t="s">
        <v>664</v>
      </c>
      <c r="K5" s="11" t="s">
        <v>47</v>
      </c>
      <c r="L5" s="11" t="n">
        <v>21</v>
      </c>
      <c r="M5" s="11" t="str">
        <f aca="false">IF(L5="","Unknown",IF(L5&lt;18,"Under 18",IF(L5&lt;25,"18-24",IF(L5&lt;35,"25-34",IF(L5&lt;45,"35-44",IF(L5&lt;55,"45-54","55+"))))))</f>
        <v>18-24</v>
      </c>
      <c r="N5" s="11"/>
      <c r="O5" s="11" t="s">
        <v>259</v>
      </c>
      <c r="P5" s="11" t="s">
        <v>187</v>
      </c>
      <c r="Q5" s="11" t="s">
        <v>665</v>
      </c>
      <c r="R5" s="11" t="str">
        <f aca="false">IFERROR(VLOOKUP(F5,Locations!$I$5:$J$60,2,FALSE()),"Not mapped")</f>
        <v>West</v>
      </c>
      <c r="S5" s="11"/>
      <c r="T5" s="11"/>
      <c r="U5" s="11"/>
      <c r="V5" s="11"/>
      <c r="W5" s="11"/>
      <c r="X5" s="11"/>
      <c r="Y5" s="12" t="s">
        <v>666</v>
      </c>
    </row>
    <row r="6" customFormat="false" ht="15" hidden="false" customHeight="false" outlineLevel="0" collapsed="false">
      <c r="A6" s="11" t="s">
        <v>667</v>
      </c>
      <c r="B6" s="11" t="s">
        <v>3</v>
      </c>
      <c r="C6" s="11" t="s">
        <v>399</v>
      </c>
      <c r="D6" s="11" t="n">
        <v>1993</v>
      </c>
      <c r="E6" s="11" t="s">
        <v>412</v>
      </c>
      <c r="F6" s="11" t="s">
        <v>241</v>
      </c>
      <c r="G6" s="11" t="s">
        <v>580</v>
      </c>
      <c r="H6" s="11" t="s">
        <v>646</v>
      </c>
      <c r="I6" s="11" t="s">
        <v>6</v>
      </c>
      <c r="J6" s="11" t="s">
        <v>668</v>
      </c>
      <c r="K6" s="11" t="s">
        <v>47</v>
      </c>
      <c r="L6" s="11"/>
      <c r="M6" s="11" t="str">
        <f aca="false">IF(L6="","Unknown",IF(L6&lt;18,"Under 18",IF(L6&lt;25,"18-24",IF(L6&lt;35,"25-34",IF(L6&lt;45,"35-44",IF(L6&lt;55,"45-54","55+"))))))</f>
        <v>Unknown</v>
      </c>
      <c r="N6" s="11"/>
      <c r="O6" s="11" t="s">
        <v>259</v>
      </c>
      <c r="P6" s="11" t="s">
        <v>47</v>
      </c>
      <c r="Q6" s="11"/>
      <c r="R6" s="11" t="str">
        <f aca="false">IFERROR(VLOOKUP(F6,Locations!$I$5:$J$60,2,FALSE()),"Not mapped")</f>
        <v>West</v>
      </c>
      <c r="S6" s="11"/>
      <c r="T6" s="11"/>
      <c r="U6" s="11"/>
      <c r="V6" s="11"/>
      <c r="W6" s="11"/>
      <c r="X6" s="11"/>
      <c r="Y6" s="12" t="s">
        <v>649</v>
      </c>
    </row>
    <row r="7" customFormat="false" ht="35.05" hidden="false" customHeight="false" outlineLevel="0" collapsed="false">
      <c r="A7" s="11" t="s">
        <v>669</v>
      </c>
      <c r="B7" s="11" t="s">
        <v>3</v>
      </c>
      <c r="C7" s="11" t="s">
        <v>399</v>
      </c>
      <c r="D7" s="11" t="n">
        <v>1996</v>
      </c>
      <c r="E7" s="11" t="s">
        <v>670</v>
      </c>
      <c r="F7" s="11" t="s">
        <v>182</v>
      </c>
      <c r="G7" s="11" t="s">
        <v>671</v>
      </c>
      <c r="H7" s="11" t="s">
        <v>646</v>
      </c>
      <c r="I7" s="11" t="s">
        <v>6</v>
      </c>
      <c r="J7" s="11" t="s">
        <v>672</v>
      </c>
      <c r="K7" s="11" t="s">
        <v>38</v>
      </c>
      <c r="L7" s="11" t="n">
        <v>26</v>
      </c>
      <c r="M7" s="11" t="str">
        <f aca="false">IF(L7="","Unknown",IF(L7&lt;18,"Under 18",IF(L7&lt;25,"18-24",IF(L7&lt;35,"25-34",IF(L7&lt;45,"35-44",IF(L7&lt;55,"45-54","55+"))))))</f>
        <v>25-34</v>
      </c>
      <c r="N7" s="11"/>
      <c r="O7" s="11" t="s">
        <v>259</v>
      </c>
      <c r="P7" s="11" t="s">
        <v>193</v>
      </c>
      <c r="Q7" s="11" t="s">
        <v>673</v>
      </c>
      <c r="R7" s="11" t="str">
        <f aca="false">IFERROR(VLOOKUP(F7,Locations!$I$5:$J$60,2,FALSE()),"Not mapped")</f>
        <v>Northeast</v>
      </c>
      <c r="S7" s="11"/>
      <c r="T7" s="11"/>
      <c r="U7" s="11"/>
      <c r="V7" s="11" t="s">
        <v>674</v>
      </c>
      <c r="W7" s="11"/>
      <c r="X7" s="11"/>
      <c r="Y7" s="12" t="s">
        <v>660</v>
      </c>
    </row>
    <row r="8" customFormat="false" ht="23.85" hidden="false" customHeight="false" outlineLevel="0" collapsed="false">
      <c r="A8" s="11" t="s">
        <v>675</v>
      </c>
      <c r="B8" s="11" t="s">
        <v>3</v>
      </c>
      <c r="C8" s="11" t="s">
        <v>399</v>
      </c>
      <c r="D8" s="11" t="n">
        <v>1999</v>
      </c>
      <c r="E8" s="11" t="s">
        <v>390</v>
      </c>
      <c r="F8" s="11" t="s">
        <v>179</v>
      </c>
      <c r="G8" s="11" t="s">
        <v>676</v>
      </c>
      <c r="H8" s="11" t="s">
        <v>677</v>
      </c>
      <c r="I8" s="11" t="s">
        <v>6</v>
      </c>
      <c r="J8" s="11" t="s">
        <v>678</v>
      </c>
      <c r="K8" s="11" t="s">
        <v>37</v>
      </c>
      <c r="L8" s="11" t="n">
        <v>21</v>
      </c>
      <c r="M8" s="11" t="str">
        <f aca="false">IF(L8="","Unknown",IF(L8&lt;18,"Under 18",IF(L8&lt;25,"18-24",IF(L8&lt;35,"25-34",IF(L8&lt;45,"35-44",IF(L8&lt;55,"45-54","55+"))))))</f>
        <v>18-24</v>
      </c>
      <c r="N8" s="11"/>
      <c r="O8" s="11" t="s">
        <v>259</v>
      </c>
      <c r="P8" s="11" t="s">
        <v>183</v>
      </c>
      <c r="Q8" s="11" t="s">
        <v>679</v>
      </c>
      <c r="R8" s="11" t="str">
        <f aca="false">IFERROR(VLOOKUP(F8,Locations!$I$5:$J$60,2,FALSE()),"Not mapped")</f>
        <v>Northeast</v>
      </c>
      <c r="S8" s="11"/>
      <c r="T8" s="11"/>
      <c r="U8" s="11"/>
      <c r="V8" s="11"/>
      <c r="W8" s="11"/>
      <c r="X8" s="11"/>
      <c r="Y8" s="12" t="s">
        <v>655</v>
      </c>
    </row>
    <row r="9" customFormat="false" ht="23.85" hidden="false" customHeight="false" outlineLevel="0" collapsed="false">
      <c r="A9" s="11" t="s">
        <v>680</v>
      </c>
      <c r="B9" s="11" t="s">
        <v>3</v>
      </c>
      <c r="C9" s="11" t="s">
        <v>681</v>
      </c>
      <c r="D9" s="11" t="n">
        <v>2000</v>
      </c>
      <c r="E9" s="11" t="s">
        <v>682</v>
      </c>
      <c r="F9" s="11" t="s">
        <v>221</v>
      </c>
      <c r="G9" s="11" t="s">
        <v>683</v>
      </c>
      <c r="H9" s="11" t="s">
        <v>646</v>
      </c>
      <c r="I9" s="11" t="s">
        <v>6</v>
      </c>
      <c r="J9" s="11" t="s">
        <v>684</v>
      </c>
      <c r="K9" s="11" t="s">
        <v>37</v>
      </c>
      <c r="L9" s="11" t="n">
        <v>22</v>
      </c>
      <c r="M9" s="11" t="str">
        <f aca="false">IF(L9="","Unknown",IF(L9&lt;18,"Under 18",IF(L9&lt;25,"18-24",IF(L9&lt;35,"25-34",IF(L9&lt;45,"35-44",IF(L9&lt;55,"45-54","55+"))))))</f>
        <v>18-24</v>
      </c>
      <c r="N9" s="11"/>
      <c r="O9" s="11" t="s">
        <v>259</v>
      </c>
      <c r="P9" s="11" t="s">
        <v>183</v>
      </c>
      <c r="Q9" s="11" t="s">
        <v>685</v>
      </c>
      <c r="R9" s="11" t="str">
        <f aca="false">IFERROR(VLOOKUP(F9,Locations!$I$5:$J$60,2,FALSE()),"Not mapped")</f>
        <v>South</v>
      </c>
      <c r="S9" s="11"/>
      <c r="T9" s="11"/>
      <c r="U9" s="11"/>
      <c r="V9" s="11" t="s">
        <v>686</v>
      </c>
      <c r="W9" s="11"/>
      <c r="X9" s="11"/>
      <c r="Y9" s="12" t="s">
        <v>687</v>
      </c>
    </row>
    <row r="10" customFormat="false" ht="35.05" hidden="false" customHeight="false" outlineLevel="0" collapsed="false">
      <c r="A10" s="11" t="s">
        <v>688</v>
      </c>
      <c r="B10" s="11" t="s">
        <v>3</v>
      </c>
      <c r="C10" s="11" t="s">
        <v>681</v>
      </c>
      <c r="D10" s="11" t="n">
        <v>2002</v>
      </c>
      <c r="E10" s="11" t="s">
        <v>689</v>
      </c>
      <c r="F10" s="11" t="s">
        <v>221</v>
      </c>
      <c r="G10" s="11" t="s">
        <v>690</v>
      </c>
      <c r="H10" s="11" t="s">
        <v>646</v>
      </c>
      <c r="I10" s="11" t="s">
        <v>6</v>
      </c>
      <c r="J10" s="11" t="s">
        <v>691</v>
      </c>
      <c r="K10" s="11" t="s">
        <v>37</v>
      </c>
      <c r="L10" s="11" t="n">
        <v>30</v>
      </c>
      <c r="M10" s="11" t="str">
        <f aca="false">IF(L10="","Unknown",IF(L10&lt;18,"Under 18",IF(L10&lt;25,"18-24",IF(L10&lt;35,"25-34",IF(L10&lt;45,"35-44",IF(L10&lt;55,"45-54","55+"))))))</f>
        <v>25-34</v>
      </c>
      <c r="N10" s="11"/>
      <c r="O10" s="11" t="s">
        <v>259</v>
      </c>
      <c r="P10" s="11" t="s">
        <v>183</v>
      </c>
      <c r="Q10" s="11" t="s">
        <v>685</v>
      </c>
      <c r="R10" s="11" t="str">
        <f aca="false">IFERROR(VLOOKUP(F10,Locations!$I$5:$J$60,2,FALSE()),"Not mapped")</f>
        <v>South</v>
      </c>
      <c r="S10" s="11"/>
      <c r="T10" s="11"/>
      <c r="U10" s="11"/>
      <c r="V10" s="11" t="s">
        <v>692</v>
      </c>
      <c r="W10" s="11"/>
      <c r="X10" s="11"/>
      <c r="Y10" s="12" t="s">
        <v>693</v>
      </c>
    </row>
    <row r="11" customFormat="false" ht="15" hidden="false" customHeight="false" outlineLevel="0" collapsed="false">
      <c r="A11" s="11" t="s">
        <v>694</v>
      </c>
      <c r="B11" s="11" t="s">
        <v>3</v>
      </c>
      <c r="C11" s="11" t="s">
        <v>399</v>
      </c>
      <c r="D11" s="11" t="n">
        <v>2002</v>
      </c>
      <c r="E11" s="11" t="s">
        <v>412</v>
      </c>
      <c r="F11" s="11" t="s">
        <v>241</v>
      </c>
      <c r="G11" s="11" t="s">
        <v>695</v>
      </c>
      <c r="H11" s="11" t="s">
        <v>646</v>
      </c>
      <c r="I11" s="11" t="s">
        <v>6</v>
      </c>
      <c r="J11" s="11" t="s">
        <v>696</v>
      </c>
      <c r="K11" s="11" t="s">
        <v>40</v>
      </c>
      <c r="L11" s="11" t="n">
        <v>25</v>
      </c>
      <c r="M11" s="11" t="str">
        <f aca="false">IF(L11="","Unknown",IF(L11&lt;18,"Under 18",IF(L11&lt;25,"18-24",IF(L11&lt;35,"25-34",IF(L11&lt;45,"35-44",IF(L11&lt;55,"45-54","55+"))))))</f>
        <v>25-34</v>
      </c>
      <c r="N11" s="11"/>
      <c r="O11" s="11" t="s">
        <v>259</v>
      </c>
      <c r="P11" s="11" t="s">
        <v>181</v>
      </c>
      <c r="Q11" s="11" t="s">
        <v>697</v>
      </c>
      <c r="R11" s="11" t="str">
        <f aca="false">IFERROR(VLOOKUP(F11,Locations!$I$5:$J$60,2,FALSE()),"Not mapped")</f>
        <v>West</v>
      </c>
      <c r="S11" s="11"/>
      <c r="T11" s="11"/>
      <c r="U11" s="11"/>
      <c r="V11" s="11"/>
      <c r="W11" s="11"/>
      <c r="X11" s="11"/>
      <c r="Y11" s="12" t="s">
        <v>660</v>
      </c>
    </row>
    <row r="12" customFormat="false" ht="15" hidden="false" customHeight="false" outlineLevel="0" collapsed="false">
      <c r="A12" s="11" t="s">
        <v>698</v>
      </c>
      <c r="B12" s="11" t="s">
        <v>3</v>
      </c>
      <c r="C12" s="11" t="s">
        <v>399</v>
      </c>
      <c r="D12" s="11" t="n">
        <v>2005</v>
      </c>
      <c r="E12" s="11" t="s">
        <v>471</v>
      </c>
      <c r="F12" s="11" t="s">
        <v>219</v>
      </c>
      <c r="G12" s="11" t="s">
        <v>699</v>
      </c>
      <c r="H12" s="11" t="s">
        <v>646</v>
      </c>
      <c r="I12" s="11" t="s">
        <v>663</v>
      </c>
      <c r="J12" s="11" t="s">
        <v>700</v>
      </c>
      <c r="K12" s="11" t="s">
        <v>47</v>
      </c>
      <c r="L12" s="11" t="n">
        <v>25</v>
      </c>
      <c r="M12" s="11" t="str">
        <f aca="false">IF(L12="","Unknown",IF(L12&lt;18,"Under 18",IF(L12&lt;25,"18-24",IF(L12&lt;35,"25-34",IF(L12&lt;45,"35-44",IF(L12&lt;55,"45-54","55+"))))))</f>
        <v>25-34</v>
      </c>
      <c r="N12" s="11"/>
      <c r="O12" s="11" t="s">
        <v>259</v>
      </c>
      <c r="P12" s="11" t="s">
        <v>47</v>
      </c>
      <c r="Q12" s="11"/>
      <c r="R12" s="11" t="str">
        <f aca="false">IFERROR(VLOOKUP(F12,Locations!$I$5:$J$60,2,FALSE()),"Not mapped")</f>
        <v>South</v>
      </c>
      <c r="S12" s="11"/>
      <c r="T12" s="11"/>
      <c r="U12" s="11"/>
      <c r="V12" s="11"/>
      <c r="W12" s="11"/>
      <c r="X12" s="11"/>
      <c r="Y12" s="12" t="s">
        <v>701</v>
      </c>
    </row>
    <row r="13" customFormat="false" ht="15" hidden="false" customHeight="false" outlineLevel="0" collapsed="false">
      <c r="A13" s="11" t="s">
        <v>702</v>
      </c>
      <c r="B13" s="11" t="s">
        <v>3</v>
      </c>
      <c r="C13" s="11" t="s">
        <v>399</v>
      </c>
      <c r="D13" s="11" t="n">
        <v>2005</v>
      </c>
      <c r="E13" s="11" t="s">
        <v>670</v>
      </c>
      <c r="F13" s="11" t="s">
        <v>182</v>
      </c>
      <c r="G13" s="11" t="s">
        <v>699</v>
      </c>
      <c r="H13" s="11" t="s">
        <v>646</v>
      </c>
      <c r="I13" s="11" t="s">
        <v>6</v>
      </c>
      <c r="J13" s="11" t="s">
        <v>703</v>
      </c>
      <c r="K13" s="11" t="s">
        <v>47</v>
      </c>
      <c r="L13" s="11" t="n">
        <v>22</v>
      </c>
      <c r="M13" s="11" t="str">
        <f aca="false">IF(L13="","Unknown",IF(L13&lt;18,"Under 18",IF(L13&lt;25,"18-24",IF(L13&lt;35,"25-34",IF(L13&lt;45,"35-44",IF(L13&lt;55,"45-54","55+"))))))</f>
        <v>18-24</v>
      </c>
      <c r="N13" s="11"/>
      <c r="O13" s="11" t="s">
        <v>259</v>
      </c>
      <c r="P13" s="11" t="s">
        <v>47</v>
      </c>
      <c r="Q13" s="11"/>
      <c r="R13" s="11" t="str">
        <f aca="false">IFERROR(VLOOKUP(F13,Locations!$I$5:$J$60,2,FALSE()),"Not mapped")</f>
        <v>Northeast</v>
      </c>
      <c r="S13" s="11"/>
      <c r="T13" s="11"/>
      <c r="U13" s="11"/>
      <c r="V13" s="11"/>
      <c r="W13" s="11"/>
      <c r="X13" s="11"/>
      <c r="Y13" s="12" t="s">
        <v>701</v>
      </c>
    </row>
    <row r="14" customFormat="false" ht="23.85" hidden="false" customHeight="false" outlineLevel="0" collapsed="false">
      <c r="A14" s="11" t="s">
        <v>704</v>
      </c>
      <c r="B14" s="11" t="s">
        <v>3</v>
      </c>
      <c r="C14" s="11" t="s">
        <v>399</v>
      </c>
      <c r="D14" s="11" t="n">
        <v>2006</v>
      </c>
      <c r="E14" s="11" t="s">
        <v>705</v>
      </c>
      <c r="F14" s="11" t="s">
        <v>184</v>
      </c>
      <c r="G14" s="11" t="s">
        <v>706</v>
      </c>
      <c r="H14" s="11" t="s">
        <v>646</v>
      </c>
      <c r="I14" s="11" t="s">
        <v>6</v>
      </c>
      <c r="J14" s="11" t="s">
        <v>707</v>
      </c>
      <c r="K14" s="11" t="s">
        <v>38</v>
      </c>
      <c r="L14" s="11" t="n">
        <v>28</v>
      </c>
      <c r="M14" s="11" t="str">
        <f aca="false">IF(L14="","Unknown",IF(L14&lt;18,"Under 18",IF(L14&lt;25,"18-24",IF(L14&lt;35,"25-34",IF(L14&lt;45,"35-44",IF(L14&lt;55,"45-54","55+"))))))</f>
        <v>25-34</v>
      </c>
      <c r="N14" s="11"/>
      <c r="O14" s="11" t="s">
        <v>259</v>
      </c>
      <c r="P14" s="11" t="s">
        <v>47</v>
      </c>
      <c r="Q14" s="11"/>
      <c r="R14" s="11" t="str">
        <f aca="false">IFERROR(VLOOKUP(F14,Locations!$I$5:$J$60,2,FALSE()),"Not mapped")</f>
        <v>Northeast</v>
      </c>
      <c r="S14" s="11"/>
      <c r="T14" s="11"/>
      <c r="U14" s="11"/>
      <c r="V14" s="11" t="s">
        <v>708</v>
      </c>
      <c r="W14" s="11"/>
      <c r="X14" s="11"/>
      <c r="Y14" s="12" t="s">
        <v>709</v>
      </c>
    </row>
    <row r="15" customFormat="false" ht="15" hidden="false" customHeight="false" outlineLevel="0" collapsed="false">
      <c r="A15" s="11" t="s">
        <v>710</v>
      </c>
      <c r="B15" s="11" t="s">
        <v>3</v>
      </c>
      <c r="C15" s="11" t="s">
        <v>399</v>
      </c>
      <c r="D15" s="11" t="n">
        <v>2006</v>
      </c>
      <c r="E15" s="11" t="s">
        <v>711</v>
      </c>
      <c r="F15" s="11" t="s">
        <v>241</v>
      </c>
      <c r="G15" s="11" t="s">
        <v>712</v>
      </c>
      <c r="H15" s="11" t="s">
        <v>646</v>
      </c>
      <c r="I15" s="11" t="s">
        <v>6</v>
      </c>
      <c r="J15" s="11" t="s">
        <v>713</v>
      </c>
      <c r="K15" s="11" t="s">
        <v>47</v>
      </c>
      <c r="L15" s="11"/>
      <c r="M15" s="11" t="str">
        <f aca="false">IF(L15="","Unknown",IF(L15&lt;18,"Under 18",IF(L15&lt;25,"18-24",IF(L15&lt;35,"25-34",IF(L15&lt;45,"35-44",IF(L15&lt;55,"45-54","55+"))))))</f>
        <v>Unknown</v>
      </c>
      <c r="N15" s="11"/>
      <c r="O15" s="11" t="s">
        <v>265</v>
      </c>
      <c r="P15" s="11" t="s">
        <v>47</v>
      </c>
      <c r="Q15" s="11"/>
      <c r="R15" s="11" t="str">
        <f aca="false">IFERROR(VLOOKUP(F15,Locations!$I$5:$J$60,2,FALSE()),"Not mapped")</f>
        <v>West</v>
      </c>
      <c r="S15" s="11"/>
      <c r="T15" s="11"/>
      <c r="U15" s="11"/>
      <c r="V15" s="11"/>
      <c r="W15" s="11"/>
      <c r="X15" s="11"/>
      <c r="Y15" s="12" t="s">
        <v>649</v>
      </c>
    </row>
    <row r="16" customFormat="false" ht="15" hidden="false" customHeight="false" outlineLevel="0" collapsed="false">
      <c r="A16" s="11" t="s">
        <v>714</v>
      </c>
      <c r="B16" s="11" t="s">
        <v>3</v>
      </c>
      <c r="C16" s="11" t="s">
        <v>715</v>
      </c>
      <c r="D16" s="11" t="n">
        <v>2015</v>
      </c>
      <c r="E16" s="11" t="s">
        <v>716</v>
      </c>
      <c r="F16" s="11" t="s">
        <v>241</v>
      </c>
      <c r="G16" s="11" t="s">
        <v>717</v>
      </c>
      <c r="H16" s="11" t="s">
        <v>646</v>
      </c>
      <c r="I16" s="11" t="s">
        <v>6</v>
      </c>
      <c r="J16" s="11" t="s">
        <v>718</v>
      </c>
      <c r="K16" s="11" t="s">
        <v>39</v>
      </c>
      <c r="L16" s="11" t="n">
        <v>49</v>
      </c>
      <c r="M16" s="11" t="str">
        <f aca="false">IF(L16="","Unknown",IF(L16&lt;18,"Under 18",IF(L16&lt;25,"18-24",IF(L16&lt;35,"25-34",IF(L16&lt;45,"35-44",IF(L16&lt;55,"45-54","55+"))))))</f>
        <v>45-54</v>
      </c>
      <c r="N16" s="11"/>
      <c r="O16" s="11" t="s">
        <v>259</v>
      </c>
      <c r="P16" s="11" t="s">
        <v>191</v>
      </c>
      <c r="Q16" s="11" t="s">
        <v>719</v>
      </c>
      <c r="R16" s="11" t="str">
        <f aca="false">IFERROR(VLOOKUP(F16,Locations!$I$5:$J$60,2,FALSE()),"Not mapped")</f>
        <v>West</v>
      </c>
      <c r="S16" s="11"/>
      <c r="T16" s="11"/>
      <c r="U16" s="11"/>
      <c r="V16" s="11"/>
      <c r="W16" s="11"/>
      <c r="X16" s="11"/>
      <c r="Y16" s="12" t="s">
        <v>701</v>
      </c>
    </row>
    <row r="17" customFormat="false" ht="23.85" hidden="false" customHeight="false" outlineLevel="0" collapsed="false">
      <c r="A17" s="11" t="s">
        <v>720</v>
      </c>
      <c r="B17" s="11" t="s">
        <v>3</v>
      </c>
      <c r="C17" s="11" t="s">
        <v>399</v>
      </c>
      <c r="D17" s="11" t="n">
        <v>2016</v>
      </c>
      <c r="E17" s="11" t="s">
        <v>721</v>
      </c>
      <c r="F17" s="11" t="s">
        <v>217</v>
      </c>
      <c r="G17" s="11" t="s">
        <v>722</v>
      </c>
      <c r="H17" s="11" t="s">
        <v>646</v>
      </c>
      <c r="I17" s="11" t="s">
        <v>6</v>
      </c>
      <c r="J17" s="11" t="s">
        <v>723</v>
      </c>
      <c r="K17" s="11" t="s">
        <v>38</v>
      </c>
      <c r="L17" s="11" t="n">
        <v>16</v>
      </c>
      <c r="M17" s="11" t="str">
        <f aca="false">IF(L17="","Unknown",IF(L17&lt;18,"Under 18",IF(L17&lt;25,"18-24",IF(L17&lt;35,"25-34",IF(L17&lt;45,"35-44",IF(L17&lt;55,"45-54","55+"))))))</f>
        <v>Under 18</v>
      </c>
      <c r="N17" s="11"/>
      <c r="O17" s="11" t="s">
        <v>259</v>
      </c>
      <c r="P17" s="11" t="s">
        <v>181</v>
      </c>
      <c r="Q17" s="11" t="s">
        <v>724</v>
      </c>
      <c r="R17" s="11" t="str">
        <f aca="false">IFERROR(VLOOKUP(F17,Locations!$I$5:$J$60,2,FALSE()),"Not mapped")</f>
        <v>South</v>
      </c>
      <c r="S17" s="11"/>
      <c r="T17" s="11"/>
      <c r="U17" s="11"/>
      <c r="V17" s="11"/>
      <c r="W17" s="11"/>
      <c r="X17" s="11"/>
      <c r="Y17" s="12" t="s">
        <v>693</v>
      </c>
    </row>
    <row r="18" customFormat="false" ht="23.85" hidden="false" customHeight="false" outlineLevel="0" collapsed="false">
      <c r="A18" s="11" t="s">
        <v>725</v>
      </c>
      <c r="B18" s="11" t="s">
        <v>3</v>
      </c>
      <c r="C18" s="11" t="s">
        <v>399</v>
      </c>
      <c r="D18" s="11" t="n">
        <v>2016</v>
      </c>
      <c r="E18" s="11" t="s">
        <v>726</v>
      </c>
      <c r="F18" s="11" t="s">
        <v>221</v>
      </c>
      <c r="G18" s="11" t="s">
        <v>406</v>
      </c>
      <c r="H18" s="11" t="s">
        <v>677</v>
      </c>
      <c r="I18" s="11" t="s">
        <v>6</v>
      </c>
      <c r="J18" s="11" t="s">
        <v>727</v>
      </c>
      <c r="K18" s="11" t="s">
        <v>37</v>
      </c>
      <c r="L18" s="11" t="n">
        <v>17</v>
      </c>
      <c r="M18" s="11" t="str">
        <f aca="false">IF(L18="","Unknown",IF(L18&lt;18,"Under 18",IF(L18&lt;25,"18-24",IF(L18&lt;35,"25-34",IF(L18&lt;45,"35-44",IF(L18&lt;55,"45-54","55+"))))))</f>
        <v>Under 18</v>
      </c>
      <c r="N18" s="11"/>
      <c r="O18" s="11" t="s">
        <v>259</v>
      </c>
      <c r="P18" s="11" t="s">
        <v>187</v>
      </c>
      <c r="Q18" s="11" t="s">
        <v>728</v>
      </c>
      <c r="R18" s="11" t="str">
        <f aca="false">IFERROR(VLOOKUP(F18,Locations!$I$5:$J$60,2,FALSE()),"Not mapped")</f>
        <v>South</v>
      </c>
      <c r="S18" s="11"/>
      <c r="T18" s="11"/>
      <c r="U18" s="11"/>
      <c r="V18" s="11"/>
      <c r="W18" s="11"/>
      <c r="X18" s="11"/>
      <c r="Y18" s="12" t="s">
        <v>729</v>
      </c>
    </row>
    <row r="19" customFormat="false" ht="23.85" hidden="false" customHeight="false" outlineLevel="0" collapsed="false">
      <c r="A19" s="11" t="s">
        <v>730</v>
      </c>
      <c r="B19" s="11" t="s">
        <v>3</v>
      </c>
      <c r="C19" s="11" t="s">
        <v>399</v>
      </c>
      <c r="D19" s="11" t="n">
        <v>2016</v>
      </c>
      <c r="E19" s="11" t="s">
        <v>731</v>
      </c>
      <c r="F19" s="11" t="s">
        <v>234</v>
      </c>
      <c r="G19" s="11" t="s">
        <v>732</v>
      </c>
      <c r="H19" s="11" t="s">
        <v>677</v>
      </c>
      <c r="I19" s="11" t="s">
        <v>6</v>
      </c>
      <c r="J19" s="11" t="s">
        <v>733</v>
      </c>
      <c r="K19" s="11" t="s">
        <v>45</v>
      </c>
      <c r="L19" s="11" t="n">
        <v>18</v>
      </c>
      <c r="M19" s="11" t="str">
        <f aca="false">IF(L19="","Unknown",IF(L19&lt;18,"Under 18",IF(L19&lt;25,"18-24",IF(L19&lt;35,"25-34",IF(L19&lt;45,"35-44",IF(L19&lt;55,"45-54","55+"))))))</f>
        <v>18-24</v>
      </c>
      <c r="N19" s="11"/>
      <c r="O19" s="11" t="s">
        <v>259</v>
      </c>
      <c r="P19" s="11" t="s">
        <v>195</v>
      </c>
      <c r="Q19" s="11" t="s">
        <v>734</v>
      </c>
      <c r="R19" s="11" t="str">
        <f aca="false">IFERROR(VLOOKUP(F19,Locations!$I$5:$J$60,2,FALSE()),"Not mapped")</f>
        <v>South</v>
      </c>
      <c r="S19" s="11"/>
      <c r="T19" s="11"/>
      <c r="U19" s="11"/>
      <c r="V19" s="11" t="s">
        <v>735</v>
      </c>
      <c r="W19" s="11"/>
      <c r="X19" s="11"/>
      <c r="Y19" s="12" t="s">
        <v>736</v>
      </c>
    </row>
    <row r="20" customFormat="false" ht="15" hidden="false" customHeight="false" outlineLevel="0" collapsed="false">
      <c r="A20" s="11" t="s">
        <v>510</v>
      </c>
      <c r="B20" s="11" t="s">
        <v>3</v>
      </c>
      <c r="C20" s="11" t="s">
        <v>399</v>
      </c>
      <c r="D20" s="11" t="n">
        <v>2016</v>
      </c>
      <c r="E20" s="11" t="s">
        <v>412</v>
      </c>
      <c r="F20" s="11" t="s">
        <v>241</v>
      </c>
      <c r="G20" s="11" t="s">
        <v>737</v>
      </c>
      <c r="H20" s="11" t="s">
        <v>646</v>
      </c>
      <c r="I20" s="11" t="s">
        <v>663</v>
      </c>
      <c r="J20" s="11" t="s">
        <v>738</v>
      </c>
      <c r="K20" s="11" t="s">
        <v>47</v>
      </c>
      <c r="L20" s="11" t="n">
        <v>23</v>
      </c>
      <c r="M20" s="11" t="str">
        <f aca="false">IF(L20="","Unknown",IF(L20&lt;18,"Under 18",IF(L20&lt;25,"18-24",IF(L20&lt;35,"25-34",IF(L20&lt;45,"35-44",IF(L20&lt;55,"45-54","55+"))))))</f>
        <v>18-24</v>
      </c>
      <c r="N20" s="11"/>
      <c r="O20" s="11" t="s">
        <v>259</v>
      </c>
      <c r="P20" s="11" t="s">
        <v>47</v>
      </c>
      <c r="Q20" s="11"/>
      <c r="R20" s="11" t="str">
        <f aca="false">IFERROR(VLOOKUP(F20,Locations!$I$5:$J$60,2,FALSE()),"Not mapped")</f>
        <v>West</v>
      </c>
      <c r="S20" s="11"/>
      <c r="T20" s="11"/>
      <c r="U20" s="11"/>
      <c r="V20" s="11"/>
      <c r="W20" s="11"/>
      <c r="X20" s="11"/>
      <c r="Y20" s="12" t="s">
        <v>666</v>
      </c>
    </row>
    <row r="21" customFormat="false" ht="15" hidden="false" customHeight="false" outlineLevel="0" collapsed="false">
      <c r="A21" s="11" t="s">
        <v>739</v>
      </c>
      <c r="B21" s="11" t="s">
        <v>3</v>
      </c>
      <c r="C21" s="11" t="s">
        <v>740</v>
      </c>
      <c r="D21" s="11" t="n">
        <v>2017</v>
      </c>
      <c r="E21" s="11" t="s">
        <v>390</v>
      </c>
      <c r="F21" s="11" t="s">
        <v>179</v>
      </c>
      <c r="G21" s="11" t="s">
        <v>741</v>
      </c>
      <c r="H21" s="11" t="s">
        <v>646</v>
      </c>
      <c r="I21" s="11" t="s">
        <v>6</v>
      </c>
      <c r="J21" s="11" t="s">
        <v>742</v>
      </c>
      <c r="K21" s="11" t="s">
        <v>47</v>
      </c>
      <c r="L21" s="11" t="n">
        <v>57</v>
      </c>
      <c r="M21" s="11" t="str">
        <f aca="false">IF(L21="","Unknown",IF(L21&lt;18,"Under 18",IF(L21&lt;25,"18-24",IF(L21&lt;35,"25-34",IF(L21&lt;45,"35-44",IF(L21&lt;55,"45-54","55+"))))))</f>
        <v>55+</v>
      </c>
      <c r="N21" s="11"/>
      <c r="O21" s="11" t="s">
        <v>259</v>
      </c>
      <c r="P21" s="11" t="s">
        <v>187</v>
      </c>
      <c r="Q21" s="11" t="s">
        <v>743</v>
      </c>
      <c r="R21" s="11" t="str">
        <f aca="false">IFERROR(VLOOKUP(F21,Locations!$I$5:$J$60,2,FALSE()),"Not mapped")</f>
        <v>Northeast</v>
      </c>
      <c r="S21" s="11"/>
      <c r="T21" s="11"/>
      <c r="U21" s="11"/>
      <c r="V21" s="11"/>
      <c r="W21" s="11"/>
      <c r="X21" s="11"/>
      <c r="Y21" s="12" t="s">
        <v>660</v>
      </c>
    </row>
    <row r="22" customFormat="false" ht="15" hidden="false" customHeight="false" outlineLevel="0" collapsed="false">
      <c r="A22" s="11" t="s">
        <v>744</v>
      </c>
      <c r="B22" s="11" t="s">
        <v>3</v>
      </c>
      <c r="C22" s="11" t="s">
        <v>399</v>
      </c>
      <c r="D22" s="11" t="n">
        <v>2018</v>
      </c>
      <c r="E22" s="11" t="s">
        <v>745</v>
      </c>
      <c r="F22" s="11" t="s">
        <v>218</v>
      </c>
      <c r="G22" s="11" t="s">
        <v>712</v>
      </c>
      <c r="H22" s="11" t="s">
        <v>646</v>
      </c>
      <c r="I22" s="11" t="s">
        <v>7</v>
      </c>
      <c r="J22" s="11" t="s">
        <v>746</v>
      </c>
      <c r="K22" s="11" t="s">
        <v>47</v>
      </c>
      <c r="L22" s="11" t="n">
        <v>19</v>
      </c>
      <c r="M22" s="11" t="str">
        <f aca="false">IF(L22="","Unknown",IF(L22&lt;18,"Under 18",IF(L22&lt;25,"18-24",IF(L22&lt;35,"25-34",IF(L22&lt;45,"35-44",IF(L22&lt;55,"45-54","55+"))))))</f>
        <v>18-24</v>
      </c>
      <c r="N22" s="11"/>
      <c r="O22" s="11" t="s">
        <v>259</v>
      </c>
      <c r="P22" s="11" t="s">
        <v>189</v>
      </c>
      <c r="Q22" s="11" t="s">
        <v>747</v>
      </c>
      <c r="R22" s="11" t="str">
        <f aca="false">IFERROR(VLOOKUP(F22,Locations!$I$5:$J$60,2,FALSE()),"Not mapped")</f>
        <v>South</v>
      </c>
      <c r="S22" s="11"/>
      <c r="T22" s="11"/>
      <c r="U22" s="11"/>
      <c r="V22" s="11"/>
      <c r="W22" s="11"/>
      <c r="X22" s="11"/>
      <c r="Y22" s="12" t="s">
        <v>693</v>
      </c>
    </row>
    <row r="23" customFormat="false" ht="15" hidden="false" customHeight="false" outlineLevel="0" collapsed="false">
      <c r="A23" s="11" t="s">
        <v>748</v>
      </c>
      <c r="B23" s="11" t="s">
        <v>3</v>
      </c>
      <c r="C23" s="11" t="s">
        <v>399</v>
      </c>
      <c r="D23" s="11" t="n">
        <v>2020</v>
      </c>
      <c r="E23" s="11" t="s">
        <v>412</v>
      </c>
      <c r="F23" s="11" t="s">
        <v>241</v>
      </c>
      <c r="G23" s="11" t="s">
        <v>749</v>
      </c>
      <c r="H23" s="11" t="s">
        <v>677</v>
      </c>
      <c r="I23" s="11" t="s">
        <v>6</v>
      </c>
      <c r="J23" s="11" t="s">
        <v>750</v>
      </c>
      <c r="K23" s="11" t="s">
        <v>40</v>
      </c>
      <c r="L23" s="11" t="n">
        <v>27</v>
      </c>
      <c r="M23" s="11" t="str">
        <f aca="false">IF(L23="","Unknown",IF(L23&lt;18,"Under 18",IF(L23&lt;25,"18-24",IF(L23&lt;35,"25-34",IF(L23&lt;45,"35-44",IF(L23&lt;55,"45-54","55+"))))))</f>
        <v>25-34</v>
      </c>
      <c r="N23" s="11"/>
      <c r="O23" s="11" t="s">
        <v>259</v>
      </c>
      <c r="P23" s="11" t="s">
        <v>189</v>
      </c>
      <c r="Q23" s="11" t="s">
        <v>751</v>
      </c>
      <c r="R23" s="11" t="str">
        <f aca="false">IFERROR(VLOOKUP(F23,Locations!$I$5:$J$60,2,FALSE()),"Not mapped")</f>
        <v>West</v>
      </c>
      <c r="S23" s="11"/>
      <c r="T23" s="11"/>
      <c r="U23" s="11"/>
      <c r="V23" s="11"/>
      <c r="W23" s="11"/>
      <c r="X23" s="11"/>
      <c r="Y23" s="12" t="s">
        <v>752</v>
      </c>
    </row>
    <row r="24" customFormat="false" ht="15" hidden="false" customHeight="false" outlineLevel="0" collapsed="false">
      <c r="A24" s="11" t="s">
        <v>753</v>
      </c>
      <c r="B24" s="11" t="s">
        <v>3</v>
      </c>
      <c r="C24" s="11" t="s">
        <v>399</v>
      </c>
      <c r="D24" s="11" t="n">
        <v>2020</v>
      </c>
      <c r="E24" s="11" t="s">
        <v>397</v>
      </c>
      <c r="F24" s="11" t="s">
        <v>217</v>
      </c>
      <c r="G24" s="11" t="s">
        <v>754</v>
      </c>
      <c r="H24" s="11" t="s">
        <v>646</v>
      </c>
      <c r="I24" s="11" t="s">
        <v>7</v>
      </c>
      <c r="J24" s="11" t="s">
        <v>755</v>
      </c>
      <c r="K24" s="11" t="s">
        <v>46</v>
      </c>
      <c r="L24" s="11"/>
      <c r="M24" s="11" t="str">
        <f aca="false">IF(L24="","Unknown",IF(L24&lt;18,"Under 18",IF(L24&lt;25,"18-24",IF(L24&lt;35,"25-34",IF(L24&lt;45,"35-44",IF(L24&lt;55,"45-54","55+"))))))</f>
        <v>Unknown</v>
      </c>
      <c r="N24" s="11"/>
      <c r="O24" s="11" t="s">
        <v>259</v>
      </c>
      <c r="P24" s="11" t="s">
        <v>189</v>
      </c>
      <c r="Q24" s="11" t="s">
        <v>756</v>
      </c>
      <c r="R24" s="11" t="str">
        <f aca="false">IFERROR(VLOOKUP(F24,Locations!$I$5:$J$60,2,FALSE()),"Not mapped")</f>
        <v>South</v>
      </c>
      <c r="S24" s="11"/>
      <c r="T24" s="11"/>
      <c r="U24" s="11"/>
      <c r="V24" s="11"/>
      <c r="W24" s="11"/>
      <c r="X24" s="11"/>
      <c r="Y24" s="12" t="s">
        <v>505</v>
      </c>
    </row>
    <row r="25" customFormat="false" ht="35.05" hidden="false" customHeight="false" outlineLevel="0" collapsed="false">
      <c r="A25" s="11" t="s">
        <v>757</v>
      </c>
      <c r="B25" s="11" t="s">
        <v>3</v>
      </c>
      <c r="C25" s="11" t="s">
        <v>425</v>
      </c>
      <c r="D25" s="11" t="n">
        <v>2021</v>
      </c>
      <c r="E25" s="11" t="s">
        <v>464</v>
      </c>
      <c r="F25" s="11" t="s">
        <v>227</v>
      </c>
      <c r="G25" s="11" t="s">
        <v>758</v>
      </c>
      <c r="H25" s="11" t="s">
        <v>646</v>
      </c>
      <c r="I25" s="11" t="s">
        <v>6</v>
      </c>
      <c r="J25" s="11" t="s">
        <v>759</v>
      </c>
      <c r="K25" s="11" t="s">
        <v>37</v>
      </c>
      <c r="L25" s="11" t="n">
        <v>27</v>
      </c>
      <c r="M25" s="11" t="str">
        <f aca="false">IF(L25="","Unknown",IF(L25&lt;18,"Under 18",IF(L25&lt;25,"18-24",IF(L25&lt;35,"25-34",IF(L25&lt;45,"35-44",IF(L25&lt;55,"45-54","55+"))))))</f>
        <v>25-34</v>
      </c>
      <c r="N25" s="11" t="s">
        <v>760</v>
      </c>
      <c r="O25" s="11" t="s">
        <v>265</v>
      </c>
      <c r="P25" s="11" t="s">
        <v>183</v>
      </c>
      <c r="Q25" s="11" t="s">
        <v>761</v>
      </c>
      <c r="R25" s="11" t="str">
        <f aca="false">IFERROR(VLOOKUP(F25,Locations!$I$5:$J$60,2,FALSE()),"Not mapped")</f>
        <v>South</v>
      </c>
      <c r="S25" s="11" t="s">
        <v>762</v>
      </c>
      <c r="T25" s="11"/>
      <c r="U25" s="11"/>
      <c r="V25" s="11"/>
      <c r="W25" s="11" t="s">
        <v>763</v>
      </c>
      <c r="X25" s="11" t="s">
        <v>764</v>
      </c>
      <c r="Y25" s="12" t="s">
        <v>765</v>
      </c>
    </row>
    <row r="26" customFormat="false" ht="23.85" hidden="false" customHeight="false" outlineLevel="0" collapsed="false">
      <c r="A26" s="11" t="s">
        <v>766</v>
      </c>
      <c r="B26" s="11" t="s">
        <v>3</v>
      </c>
      <c r="C26" s="11" t="s">
        <v>399</v>
      </c>
      <c r="D26" s="11" t="n">
        <v>2022</v>
      </c>
      <c r="E26" s="11" t="s">
        <v>412</v>
      </c>
      <c r="F26" s="11" t="s">
        <v>241</v>
      </c>
      <c r="G26" s="11" t="s">
        <v>767</v>
      </c>
      <c r="H26" s="11" t="s">
        <v>646</v>
      </c>
      <c r="I26" s="11" t="s">
        <v>663</v>
      </c>
      <c r="J26" s="11" t="s">
        <v>768</v>
      </c>
      <c r="K26" s="11" t="s">
        <v>46</v>
      </c>
      <c r="L26" s="11" t="n">
        <v>29</v>
      </c>
      <c r="M26" s="11" t="str">
        <f aca="false">IF(L26="","Unknown",IF(L26&lt;18,"Under 18",IF(L26&lt;25,"18-24",IF(L26&lt;35,"25-34",IF(L26&lt;45,"35-44",IF(L26&lt;55,"45-54","55+"))))))</f>
        <v>25-34</v>
      </c>
      <c r="N26" s="11"/>
      <c r="O26" s="11" t="s">
        <v>259</v>
      </c>
      <c r="P26" s="11" t="s">
        <v>193</v>
      </c>
      <c r="Q26" s="11" t="s">
        <v>769</v>
      </c>
      <c r="R26" s="11" t="str">
        <f aca="false">IFERROR(VLOOKUP(F26,Locations!$I$5:$J$60,2,FALSE()),"Not mapped")</f>
        <v>West</v>
      </c>
      <c r="S26" s="11"/>
      <c r="T26" s="11"/>
      <c r="U26" s="11" t="s">
        <v>770</v>
      </c>
      <c r="V26" s="11"/>
      <c r="W26" s="11"/>
      <c r="X26" s="11"/>
      <c r="Y26" s="12" t="s">
        <v>771</v>
      </c>
    </row>
    <row r="27" customFormat="false" ht="23.85" hidden="false" customHeight="false" outlineLevel="0" collapsed="false">
      <c r="A27" s="11" t="s">
        <v>772</v>
      </c>
      <c r="B27" s="11" t="s">
        <v>3</v>
      </c>
      <c r="C27" s="11" t="s">
        <v>453</v>
      </c>
      <c r="D27" s="11" t="n">
        <v>2022</v>
      </c>
      <c r="E27" s="11" t="s">
        <v>773</v>
      </c>
      <c r="F27" s="11" t="s">
        <v>179</v>
      </c>
      <c r="G27" s="11" t="s">
        <v>774</v>
      </c>
      <c r="H27" s="11" t="s">
        <v>677</v>
      </c>
      <c r="I27" s="11" t="s">
        <v>6</v>
      </c>
      <c r="J27" s="11" t="s">
        <v>775</v>
      </c>
      <c r="K27" s="11" t="s">
        <v>37</v>
      </c>
      <c r="L27" s="11"/>
      <c r="M27" s="11" t="str">
        <f aca="false">IF(L27="","Unknown",IF(L27&lt;18,"Under 18",IF(L27&lt;25,"18-24",IF(L27&lt;35,"25-34",IF(L27&lt;45,"35-44",IF(L27&lt;55,"45-54","55+"))))))</f>
        <v>Unknown</v>
      </c>
      <c r="N27" s="11"/>
      <c r="O27" s="11" t="s">
        <v>265</v>
      </c>
      <c r="P27" s="11" t="s">
        <v>47</v>
      </c>
      <c r="Q27" s="11"/>
      <c r="R27" s="11" t="str">
        <f aca="false">IFERROR(VLOOKUP(F27,Locations!$I$5:$J$60,2,FALSE()),"Not mapped")</f>
        <v>Northeast</v>
      </c>
      <c r="S27" s="11"/>
      <c r="T27" s="11"/>
      <c r="U27" s="11" t="s">
        <v>776</v>
      </c>
      <c r="V27" s="11"/>
      <c r="W27" s="11"/>
      <c r="X27" s="11"/>
      <c r="Y27" s="12" t="s">
        <v>693</v>
      </c>
    </row>
    <row r="28" customFormat="false" ht="15" hidden="false" customHeight="false" outlineLevel="0" collapsed="false">
      <c r="A28" s="11" t="s">
        <v>777</v>
      </c>
      <c r="B28" s="11" t="s">
        <v>3</v>
      </c>
      <c r="C28" s="11" t="s">
        <v>453</v>
      </c>
      <c r="D28" s="11" t="n">
        <v>2024</v>
      </c>
      <c r="E28" s="11" t="s">
        <v>778</v>
      </c>
      <c r="F28" s="11" t="s">
        <v>217</v>
      </c>
      <c r="G28" s="11" t="s">
        <v>779</v>
      </c>
      <c r="H28" s="11" t="s">
        <v>677</v>
      </c>
      <c r="I28" s="11" t="s">
        <v>6</v>
      </c>
      <c r="J28" s="11" t="s">
        <v>780</v>
      </c>
      <c r="K28" s="11" t="s">
        <v>40</v>
      </c>
      <c r="L28" s="11"/>
      <c r="M28" s="11" t="str">
        <f aca="false">IF(L28="","Unknown",IF(L28&lt;18,"Under 18",IF(L28&lt;25,"18-24",IF(L28&lt;35,"25-34",IF(L28&lt;45,"35-44",IF(L28&lt;55,"45-54","55+"))))))</f>
        <v>Unknown</v>
      </c>
      <c r="N28" s="11"/>
      <c r="O28" s="11" t="s">
        <v>259</v>
      </c>
      <c r="P28" s="11" t="s">
        <v>47</v>
      </c>
      <c r="Q28" s="11"/>
      <c r="R28" s="11" t="str">
        <f aca="false">IFERROR(VLOOKUP(F28,Locations!$I$5:$J$60,2,FALSE()),"Not mapped")</f>
        <v>South</v>
      </c>
      <c r="S28" s="11"/>
      <c r="T28" s="11"/>
      <c r="U28" s="11"/>
      <c r="V28" s="11"/>
      <c r="W28" s="11"/>
      <c r="X28" s="11"/>
      <c r="Y28" s="12" t="s">
        <v>752</v>
      </c>
    </row>
    <row r="29" customFormat="false" ht="15" hidden="false" customHeight="false" outlineLevel="0" collapsed="false">
      <c r="A29" s="11" t="s">
        <v>781</v>
      </c>
      <c r="B29" s="11" t="s">
        <v>3</v>
      </c>
      <c r="C29" s="11" t="s">
        <v>399</v>
      </c>
      <c r="D29" s="11" t="n">
        <v>2026</v>
      </c>
      <c r="E29" s="11" t="s">
        <v>471</v>
      </c>
      <c r="F29" s="11" t="s">
        <v>219</v>
      </c>
      <c r="G29" s="11" t="s">
        <v>782</v>
      </c>
      <c r="H29" s="11" t="s">
        <v>646</v>
      </c>
      <c r="I29" s="11" t="s">
        <v>7</v>
      </c>
      <c r="J29" s="11" t="s">
        <v>783</v>
      </c>
      <c r="K29" s="11" t="s">
        <v>47</v>
      </c>
      <c r="L29" s="11"/>
      <c r="M29" s="11" t="str">
        <f aca="false">IF(L29="","Unknown",IF(L29&lt;18,"Under 18",IF(L29&lt;25,"18-24",IF(L29&lt;35,"25-34",IF(L29&lt;45,"35-44",IF(L29&lt;55,"45-54","55+"))))))</f>
        <v>Unknown</v>
      </c>
      <c r="N29" s="11"/>
      <c r="O29" s="11" t="s">
        <v>265</v>
      </c>
      <c r="P29" s="11" t="s">
        <v>47</v>
      </c>
      <c r="Q29" s="11"/>
      <c r="R29" s="11" t="str">
        <f aca="false">IFERROR(VLOOKUP(F29,Locations!$I$5:$J$60,2,FALSE()),"Not mapped")</f>
        <v>South</v>
      </c>
      <c r="S29" s="11"/>
      <c r="T29" s="11"/>
      <c r="U29" s="11"/>
      <c r="V29" s="11"/>
      <c r="W29" s="11"/>
      <c r="X29" s="11"/>
      <c r="Y29" s="12" t="s">
        <v>784</v>
      </c>
    </row>
    <row r="30" customFormat="false" ht="15" hidden="false" customHeight="false" outlineLevel="0" collapsed="false">
      <c r="A30" s="11" t="s">
        <v>785</v>
      </c>
      <c r="B30" s="11" t="s">
        <v>4</v>
      </c>
      <c r="C30" s="11" t="s">
        <v>786</v>
      </c>
      <c r="D30" s="11" t="n">
        <v>1969</v>
      </c>
      <c r="E30" s="11" t="s">
        <v>787</v>
      </c>
      <c r="F30" s="11" t="s">
        <v>241</v>
      </c>
      <c r="G30" s="11" t="s">
        <v>788</v>
      </c>
      <c r="H30" s="11" t="s">
        <v>646</v>
      </c>
      <c r="I30" s="11" t="s">
        <v>6</v>
      </c>
      <c r="J30" s="11" t="s">
        <v>696</v>
      </c>
      <c r="K30" s="11" t="s">
        <v>43</v>
      </c>
      <c r="L30" s="11" t="n">
        <v>21</v>
      </c>
      <c r="M30" s="11" t="str">
        <f aca="false">IF(L30="","Unknown",IF(L30&lt;18,"Under 18",IF(L30&lt;25,"18-24",IF(L30&lt;35,"25-34",IF(L30&lt;45,"35-44",IF(L30&lt;55,"45-54","55+"))))))</f>
        <v>18-24</v>
      </c>
      <c r="N30" s="11"/>
      <c r="O30" s="11" t="s">
        <v>260</v>
      </c>
      <c r="P30" s="11" t="s">
        <v>181</v>
      </c>
      <c r="Q30" s="11" t="s">
        <v>789</v>
      </c>
      <c r="R30" s="11" t="str">
        <f aca="false">IFERROR(VLOOKUP(F30,Locations!$I$5:$J$60,2,FALSE()),"Not mapped")</f>
        <v>West</v>
      </c>
      <c r="S30" s="11"/>
      <c r="T30" s="11"/>
      <c r="U30" s="11"/>
      <c r="V30" s="11"/>
      <c r="W30" s="11"/>
      <c r="X30" s="11"/>
      <c r="Y30" s="12" t="s">
        <v>85</v>
      </c>
    </row>
    <row r="31" customFormat="false" ht="15" hidden="false" customHeight="false" outlineLevel="0" collapsed="false">
      <c r="A31" s="11" t="s">
        <v>790</v>
      </c>
      <c r="B31" s="11" t="s">
        <v>4</v>
      </c>
      <c r="C31" s="11" t="s">
        <v>601</v>
      </c>
      <c r="D31" s="11" t="n">
        <v>1978</v>
      </c>
      <c r="E31" s="11" t="s">
        <v>390</v>
      </c>
      <c r="F31" s="11" t="s">
        <v>179</v>
      </c>
      <c r="G31" s="11" t="s">
        <v>791</v>
      </c>
      <c r="H31" s="11" t="s">
        <v>646</v>
      </c>
      <c r="I31" s="11" t="s">
        <v>663</v>
      </c>
      <c r="J31" s="11" t="s">
        <v>792</v>
      </c>
      <c r="K31" s="11" t="s">
        <v>40</v>
      </c>
      <c r="L31" s="11" t="n">
        <v>21</v>
      </c>
      <c r="M31" s="11" t="str">
        <f aca="false">IF(L31="","Unknown",IF(L31&lt;18,"Under 18",IF(L31&lt;25,"18-24",IF(L31&lt;35,"25-34",IF(L31&lt;45,"35-44",IF(L31&lt;55,"45-54","55+"))))))</f>
        <v>18-24</v>
      </c>
      <c r="N31" s="11"/>
      <c r="O31" s="11" t="s">
        <v>260</v>
      </c>
      <c r="P31" s="11" t="s">
        <v>195</v>
      </c>
      <c r="Q31" s="11" t="s">
        <v>793</v>
      </c>
      <c r="R31" s="11" t="str">
        <f aca="false">IFERROR(VLOOKUP(F31,Locations!$I$5:$J$60,2,FALSE()),"Not mapped")</f>
        <v>Northeast</v>
      </c>
      <c r="S31" s="11"/>
      <c r="T31" s="11"/>
      <c r="U31" s="11"/>
      <c r="V31" s="11"/>
      <c r="W31" s="11"/>
      <c r="X31" s="11"/>
      <c r="Y31" s="12" t="s">
        <v>794</v>
      </c>
    </row>
    <row r="32" customFormat="false" ht="15" hidden="false" customHeight="false" outlineLevel="0" collapsed="false">
      <c r="A32" s="11" t="s">
        <v>795</v>
      </c>
      <c r="B32" s="11" t="s">
        <v>4</v>
      </c>
      <c r="C32" s="11" t="s">
        <v>796</v>
      </c>
      <c r="D32" s="11" t="n">
        <v>1983</v>
      </c>
      <c r="E32" s="11" t="s">
        <v>412</v>
      </c>
      <c r="F32" s="11" t="s">
        <v>241</v>
      </c>
      <c r="G32" s="11" t="s">
        <v>797</v>
      </c>
      <c r="H32" s="11" t="s">
        <v>646</v>
      </c>
      <c r="I32" s="11" t="s">
        <v>6</v>
      </c>
      <c r="J32" s="11" t="s">
        <v>798</v>
      </c>
      <c r="K32" s="11" t="s">
        <v>40</v>
      </c>
      <c r="L32" s="11" t="n">
        <v>37</v>
      </c>
      <c r="M32" s="11" t="str">
        <f aca="false">IF(L32="","Unknown",IF(L32&lt;18,"Under 18",IF(L32&lt;25,"18-24",IF(L32&lt;35,"25-34",IF(L32&lt;45,"35-44",IF(L32&lt;55,"45-54","55+"))))))</f>
        <v>35-44</v>
      </c>
      <c r="N32" s="11"/>
      <c r="O32" s="11" t="s">
        <v>260</v>
      </c>
      <c r="P32" s="11" t="s">
        <v>181</v>
      </c>
      <c r="Q32" s="11" t="s">
        <v>799</v>
      </c>
      <c r="R32" s="11" t="str">
        <f aca="false">IFERROR(VLOOKUP(F32,Locations!$I$5:$J$60,2,FALSE()),"Not mapped")</f>
        <v>West</v>
      </c>
      <c r="S32" s="11"/>
      <c r="T32" s="11"/>
      <c r="U32" s="11"/>
      <c r="V32" s="11"/>
      <c r="W32" s="11"/>
      <c r="X32" s="11"/>
      <c r="Y32" s="12" t="s">
        <v>81</v>
      </c>
    </row>
    <row r="33" customFormat="false" ht="15" hidden="false" customHeight="false" outlineLevel="0" collapsed="false">
      <c r="A33" s="11" t="s">
        <v>800</v>
      </c>
      <c r="B33" s="11" t="s">
        <v>4</v>
      </c>
      <c r="C33" s="11" t="s">
        <v>801</v>
      </c>
      <c r="D33" s="11" t="n">
        <v>1984</v>
      </c>
      <c r="E33" s="11" t="s">
        <v>802</v>
      </c>
      <c r="F33" s="11" t="s">
        <v>241</v>
      </c>
      <c r="G33" s="11" t="s">
        <v>803</v>
      </c>
      <c r="H33" s="11" t="s">
        <v>646</v>
      </c>
      <c r="I33" s="11" t="s">
        <v>6</v>
      </c>
      <c r="J33" s="11" t="s">
        <v>804</v>
      </c>
      <c r="K33" s="11" t="s">
        <v>44</v>
      </c>
      <c r="L33" s="11" t="n">
        <v>23</v>
      </c>
      <c r="M33" s="11" t="str">
        <f aca="false">IF(L33="","Unknown",IF(L33&lt;18,"Under 18",IF(L33&lt;25,"18-24",IF(L33&lt;35,"25-34",IF(L33&lt;45,"35-44",IF(L33&lt;55,"45-54","55+"))))))</f>
        <v>18-24</v>
      </c>
      <c r="N33" s="11"/>
      <c r="O33" s="11" t="s">
        <v>265</v>
      </c>
      <c r="P33" s="11" t="s">
        <v>189</v>
      </c>
      <c r="Q33" s="11" t="s">
        <v>805</v>
      </c>
      <c r="R33" s="11" t="str">
        <f aca="false">IFERROR(VLOOKUP(F33,Locations!$I$5:$J$60,2,FALSE()),"Not mapped")</f>
        <v>West</v>
      </c>
      <c r="S33" s="11"/>
      <c r="T33" s="11"/>
      <c r="U33" s="11"/>
      <c r="V33" s="11"/>
      <c r="W33" s="11"/>
      <c r="X33" s="11"/>
      <c r="Y33" s="12" t="s">
        <v>81</v>
      </c>
    </row>
    <row r="34" customFormat="false" ht="23.85" hidden="false" customHeight="false" outlineLevel="0" collapsed="false">
      <c r="A34" s="11" t="s">
        <v>806</v>
      </c>
      <c r="B34" s="11" t="s">
        <v>4</v>
      </c>
      <c r="C34" s="11" t="s">
        <v>801</v>
      </c>
      <c r="D34" s="11" t="n">
        <v>1998</v>
      </c>
      <c r="E34" s="11" t="s">
        <v>807</v>
      </c>
      <c r="F34" s="11" t="s">
        <v>241</v>
      </c>
      <c r="G34" s="11" t="s">
        <v>808</v>
      </c>
      <c r="H34" s="11" t="s">
        <v>677</v>
      </c>
      <c r="I34" s="11" t="s">
        <v>6</v>
      </c>
      <c r="J34" s="11" t="s">
        <v>809</v>
      </c>
      <c r="K34" s="11" t="s">
        <v>40</v>
      </c>
      <c r="L34" s="11" t="n">
        <v>35</v>
      </c>
      <c r="M34" s="11" t="str">
        <f aca="false">IF(L34="","Unknown",IF(L34&lt;18,"Under 18",IF(L34&lt;25,"18-24",IF(L34&lt;35,"25-34",IF(L34&lt;45,"35-44",IF(L34&lt;55,"45-54","55+"))))))</f>
        <v>35-44</v>
      </c>
      <c r="N34" s="11"/>
      <c r="O34" s="11" t="s">
        <v>260</v>
      </c>
      <c r="P34" s="11" t="s">
        <v>181</v>
      </c>
      <c r="Q34" s="11" t="s">
        <v>810</v>
      </c>
      <c r="R34" s="11" t="str">
        <f aca="false">IFERROR(VLOOKUP(F34,Locations!$I$5:$J$60,2,FALSE()),"Not mapped")</f>
        <v>West</v>
      </c>
      <c r="S34" s="11" t="s">
        <v>811</v>
      </c>
      <c r="T34" s="11"/>
      <c r="U34" s="11"/>
      <c r="V34" s="11" t="s">
        <v>812</v>
      </c>
      <c r="W34" s="11" t="s">
        <v>813</v>
      </c>
      <c r="X34" s="11"/>
      <c r="Y34" s="12" t="s">
        <v>814</v>
      </c>
    </row>
    <row r="35" customFormat="false" ht="15" hidden="false" customHeight="false" outlineLevel="0" collapsed="false">
      <c r="A35" s="11" t="s">
        <v>815</v>
      </c>
      <c r="B35" s="11" t="s">
        <v>4</v>
      </c>
      <c r="C35" s="11" t="s">
        <v>816</v>
      </c>
      <c r="D35" s="11" t="n">
        <v>2003</v>
      </c>
      <c r="E35" s="11" t="s">
        <v>817</v>
      </c>
      <c r="F35" s="11" t="s">
        <v>241</v>
      </c>
      <c r="G35" s="11" t="s">
        <v>818</v>
      </c>
      <c r="H35" s="11" t="s">
        <v>646</v>
      </c>
      <c r="I35" s="11" t="s">
        <v>6</v>
      </c>
      <c r="J35" s="11" t="s">
        <v>819</v>
      </c>
      <c r="K35" s="11" t="s">
        <v>40</v>
      </c>
      <c r="L35" s="11" t="n">
        <v>63</v>
      </c>
      <c r="M35" s="11" t="str">
        <f aca="false">IF(L35="","Unknown",IF(L35&lt;18,"Under 18",IF(L35&lt;25,"18-24",IF(L35&lt;35,"25-34",IF(L35&lt;45,"35-44",IF(L35&lt;55,"45-54","55+"))))))</f>
        <v>55+</v>
      </c>
      <c r="N35" s="11"/>
      <c r="O35" s="11" t="s">
        <v>260</v>
      </c>
      <c r="P35" s="11" t="s">
        <v>181</v>
      </c>
      <c r="Q35" s="11" t="s">
        <v>820</v>
      </c>
      <c r="R35" s="11" t="str">
        <f aca="false">IFERROR(VLOOKUP(F35,Locations!$I$5:$J$60,2,FALSE()),"Not mapped")</f>
        <v>West</v>
      </c>
      <c r="S35" s="11"/>
      <c r="T35" s="11"/>
      <c r="U35" s="11"/>
      <c r="V35" s="11"/>
      <c r="W35" s="11"/>
      <c r="X35" s="11"/>
      <c r="Y35" s="12" t="s">
        <v>85</v>
      </c>
    </row>
    <row r="36" customFormat="false" ht="23.85" hidden="false" customHeight="false" outlineLevel="0" collapsed="false">
      <c r="A36" s="11" t="s">
        <v>821</v>
      </c>
      <c r="B36" s="11" t="s">
        <v>4</v>
      </c>
      <c r="C36" s="11" t="s">
        <v>822</v>
      </c>
      <c r="D36" s="11" t="n">
        <v>2013</v>
      </c>
      <c r="E36" s="11" t="s">
        <v>823</v>
      </c>
      <c r="F36" s="11" t="s">
        <v>241</v>
      </c>
      <c r="G36" s="11" t="s">
        <v>824</v>
      </c>
      <c r="H36" s="11" t="s">
        <v>677</v>
      </c>
      <c r="I36" s="11" t="s">
        <v>6</v>
      </c>
      <c r="J36" s="11" t="s">
        <v>825</v>
      </c>
      <c r="K36" s="11" t="s">
        <v>40</v>
      </c>
      <c r="L36" s="11" t="n">
        <v>32</v>
      </c>
      <c r="M36" s="11" t="str">
        <f aca="false">IF(L36="","Unknown",IF(L36&lt;18,"Under 18",IF(L36&lt;25,"18-24",IF(L36&lt;35,"25-34",IF(L36&lt;45,"35-44",IF(L36&lt;55,"45-54","55+"))))))</f>
        <v>25-34</v>
      </c>
      <c r="N36" s="11"/>
      <c r="O36" s="11" t="s">
        <v>260</v>
      </c>
      <c r="P36" s="11" t="s">
        <v>200</v>
      </c>
      <c r="Q36" s="11" t="s">
        <v>826</v>
      </c>
      <c r="R36" s="11" t="str">
        <f aca="false">IFERROR(VLOOKUP(F36,Locations!$I$5:$J$60,2,FALSE()),"Not mapped")</f>
        <v>West</v>
      </c>
      <c r="S36" s="11" t="s">
        <v>827</v>
      </c>
      <c r="T36" s="11"/>
      <c r="U36" s="11"/>
      <c r="V36" s="11"/>
      <c r="W36" s="11" t="s">
        <v>828</v>
      </c>
      <c r="X36" s="11"/>
      <c r="Y36" s="12" t="s">
        <v>829</v>
      </c>
    </row>
    <row r="37" customFormat="false" ht="15" hidden="false" customHeight="false" outlineLevel="0" collapsed="false">
      <c r="A37" s="11" t="s">
        <v>830</v>
      </c>
      <c r="B37" s="11" t="s">
        <v>4</v>
      </c>
      <c r="C37" s="11" t="s">
        <v>831</v>
      </c>
      <c r="D37" s="11" t="n">
        <v>2023</v>
      </c>
      <c r="E37" s="11" t="s">
        <v>832</v>
      </c>
      <c r="F37" s="11" t="s">
        <v>241</v>
      </c>
      <c r="G37" s="11" t="s">
        <v>833</v>
      </c>
      <c r="H37" s="11" t="s">
        <v>646</v>
      </c>
      <c r="I37" s="11" t="s">
        <v>6</v>
      </c>
      <c r="J37" s="11" t="s">
        <v>834</v>
      </c>
      <c r="K37" s="11" t="s">
        <v>40</v>
      </c>
      <c r="L37" s="11" t="n">
        <v>54</v>
      </c>
      <c r="M37" s="11" t="str">
        <f aca="false">IF(L37="","Unknown",IF(L37&lt;18,"Under 18",IF(L37&lt;25,"18-24",IF(L37&lt;35,"25-34",IF(L37&lt;45,"35-44",IF(L37&lt;55,"45-54","55+"))))))</f>
        <v>45-54</v>
      </c>
      <c r="N37" s="11"/>
      <c r="O37" s="11" t="s">
        <v>260</v>
      </c>
      <c r="P37" s="11" t="s">
        <v>181</v>
      </c>
      <c r="Q37" s="11" t="s">
        <v>789</v>
      </c>
      <c r="R37" s="11" t="str">
        <f aca="false">IFERROR(VLOOKUP(F37,Locations!$I$5:$J$60,2,FALSE()),"Not mapped")</f>
        <v>West</v>
      </c>
      <c r="S37" s="11"/>
      <c r="T37" s="11"/>
      <c r="U37" s="11"/>
      <c r="V37" s="11"/>
      <c r="W37" s="11"/>
      <c r="X37" s="11"/>
      <c r="Y37" s="12" t="s">
        <v>835</v>
      </c>
    </row>
    <row r="38" customFormat="false" ht="35.05" hidden="false" customHeight="false" outlineLevel="0" collapsed="false">
      <c r="A38" s="11" t="s">
        <v>836</v>
      </c>
      <c r="B38" s="11" t="s">
        <v>4</v>
      </c>
      <c r="C38" s="11" t="s">
        <v>837</v>
      </c>
      <c r="D38" s="11" t="n">
        <v>2026</v>
      </c>
      <c r="E38" s="11" t="s">
        <v>838</v>
      </c>
      <c r="F38" s="11" t="s">
        <v>225</v>
      </c>
      <c r="G38" s="11" t="s">
        <v>839</v>
      </c>
      <c r="H38" s="11" t="s">
        <v>677</v>
      </c>
      <c r="I38" s="11" t="s">
        <v>7</v>
      </c>
      <c r="J38" s="11" t="s">
        <v>840</v>
      </c>
      <c r="K38" s="11" t="s">
        <v>39</v>
      </c>
      <c r="L38" s="11" t="n">
        <v>33</v>
      </c>
      <c r="M38" s="11" t="str">
        <f aca="false">IF(L38="","Unknown",IF(L38&lt;18,"Under 18",IF(L38&lt;25,"18-24",IF(L38&lt;35,"25-34",IF(L38&lt;45,"35-44",IF(L38&lt;55,"45-54","55+"))))))</f>
        <v>25-34</v>
      </c>
      <c r="N38" s="11"/>
      <c r="O38" s="11" t="s">
        <v>260</v>
      </c>
      <c r="P38" s="11" t="s">
        <v>181</v>
      </c>
      <c r="Q38" s="11" t="s">
        <v>841</v>
      </c>
      <c r="R38" s="11" t="str">
        <f aca="false">IFERROR(VLOOKUP(F38,Locations!$I$5:$J$60,2,FALSE()),"Not mapped")</f>
        <v>South</v>
      </c>
      <c r="S38" s="11" t="s">
        <v>842</v>
      </c>
      <c r="T38" s="11"/>
      <c r="U38" s="11"/>
      <c r="V38" s="11"/>
      <c r="W38" s="11"/>
      <c r="X38" s="11"/>
      <c r="Y38" s="12" t="s">
        <v>843</v>
      </c>
    </row>
  </sheetData>
  <hyperlinks>
    <hyperlink ref="Y2" r:id="rId1" display="https://www.liveabout.com/rappers-who-have-actually-killed-people-2857357"/>
    <hyperlink ref="Y3" r:id="rId2" display="https://zhiphopcleveland.com/6481204/wildest-rapper-crimes-list/"/>
    <hyperlink ref="Y4" r:id="rId3" display="https://www.ranker.com/list/rappers-who-killed-people/ranker-hip-hop"/>
    <hyperlink ref="Y5" r:id="rId4" display="https://www.mensjournal.com/entertainment/lil-durk-trial-rap-lyrics-evidence-court"/>
    <hyperlink ref="Y6" r:id="rId5" display="https://www.liveabout.com/rappers-who-have-actually-killed-people-2857357"/>
    <hyperlink ref="Y7" r:id="rId6" display="https://www.ranker.com/list/rappers-who-killed-people/ranker-hip-hop"/>
    <hyperlink ref="Y8" r:id="rId7" display="https://zhiphopcleveland.com/6481204/wildest-rapper-crimes-list/"/>
    <hyperlink ref="Y9" r:id="rId8" display="https://www.nbcnews.com/news/us-news/black-rappers-call-double-standard-using-hip-hop-lyrics-evidence-rappe-rcna65529"/>
    <hyperlink ref="Y10" r:id="rId9" display="https://hiphopwired.com/playlist/10-rappers-currently-in-prison/"/>
    <hyperlink ref="Y11" r:id="rId10" display="https://www.ranker.com/list/rappers-who-killed-people/ranker-hip-hop"/>
    <hyperlink ref="Y12" r:id="rId11" display="https://www.grunge.com/182849/musicians-who-have-killed-people/"/>
    <hyperlink ref="Y13" r:id="rId12" display="https://www.grunge.com/182849/musicians-who-have-killed-people/"/>
    <hyperlink ref="Y14" r:id="rId13" display="https://www.thetoptens.com/music/musicians-who-killed-someone/"/>
    <hyperlink ref="Y15" r:id="rId14" display="https://www.liveabout.com/rappers-who-have-actually-killed-people-2857357"/>
    <hyperlink ref="Y16" r:id="rId15" display="https://www.grunge.com/182849/musicians-who-have-killed-people/"/>
    <hyperlink ref="Y17" r:id="rId16" display="https://hiphopwired.com/playlist/10-rappers-currently-in-prison/"/>
    <hyperlink ref="Y18" r:id="rId17" display="https://www.wafb.com/story/35496343/rapper-nba-youngboy-released-from-jail-after-pleading-guilty-to-lesser-charge"/>
    <hyperlink ref="Y19" r:id="rId18" display="https://www.wistv.com/2021/04/29/rapper-kodak-black-pleads-guilty-florence-co-case"/>
    <hyperlink ref="Y20" r:id="rId19" display="https://www.mensjournal.com/entertainment/lil-durk-trial-rap-lyrics-evidence-court"/>
    <hyperlink ref="Y21" r:id="rId20" display="https://www.ranker.com/list/rappers-who-killed-people/ranker-hip-hop"/>
    <hyperlink ref="Y22" r:id="rId21" display="https://hiphopwired.com/playlist/10-rappers-currently-in-prison/"/>
    <hyperlink ref="Y23" r:id="rId22" display="https://www.xxlmag.com/rappers-in-jail-prison/"/>
    <hyperlink ref="Y24" r:id="rId23" display="https://www.fox4news.com/news/dallas-judge-weighs-rap-lyrics-evidence-before-yella-beezy-murder-trial"/>
    <hyperlink ref="Y25" r:id="rId24" display="https://www.wave3.com/2023/12/05/dj-accused-killing-bartender-louisville-nightclub-will-not-serve-jail-time-after-taking-plea-deal/"/>
    <hyperlink ref="Y26" r:id="rId25" display="https://www.revolt.tv/article/lil-durk-acquitted-all-charges-murder-for-hire-trial"/>
    <hyperlink ref="Y27" r:id="rId26" display="https://hiphopwired.com/playlist/10-rappers-currently-in-prison/"/>
    <hyperlink ref="Y28" r:id="rId27" display="https://www.xxlmag.com/rappers-in-jail-prison/"/>
    <hyperlink ref="Y29" r:id="rId28" display="https://baltimoresun.com/2026/10/15/maryland-rapper-charged-felony-murder-atlanta"/>
    <hyperlink ref="Y30" r:id="rId29" display="https://www.watchmojo.com/articles/10-musicians-who-turned-to-murder"/>
    <hyperlink ref="Y31" r:id="rId30" display="https://listverse.com/2019/08/19/10-rock-and-metal-musicians-who-killed-someone/"/>
    <hyperlink ref="Y32" r:id="rId31" display="https://thedarksideofhumanity.com/musicians-who-killed-true-crime/"/>
    <hyperlink ref="Y33" r:id="rId32" display="https://thedarksideofhumanity.com/musicians-who-killed-true-crime/"/>
    <hyperlink ref="Y34" r:id="rId33" display="https://www.nme.com/news/music/motley-crue-67-1390719"/>
    <hyperlink ref="Y35" r:id="rId34" display="https://www.watchmojo.com/articles/10-musicians-who-turned-to-murder"/>
    <hyperlink ref="Y36" r:id="rId35" display="https://www.rollingstone.com/music/news/tim-lambesis-sentenced-to-six-years-in-jail-for-murder-for-hire-plot-20140516"/>
    <hyperlink ref="Y37" r:id="rId36" display="https://www.cbsnews.com/sanfrancisco/news/former-member-mr-bungle-theo-lengyel-guilty-first-degree-murder/"/>
    <hyperlink ref="Y38" r:id="rId37" display="https://www.cbsnews.com/baltimore/news/former-guitarist-baltimore-rock-band-turnstile-brady-ebert-attempted-murder/"/>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38"/>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38"/>
    <col collapsed="false" customWidth="true" hidden="false" outlineLevel="0" max="3" min="2" style="0" width="16"/>
    <col collapsed="false" customWidth="true" hidden="false" outlineLevel="0" max="4" min="4" style="0" width="7"/>
    <col collapsed="false" customWidth="true" hidden="false" outlineLevel="0" max="5" min="5" style="0" width="16"/>
    <col collapsed="false" customWidth="true" hidden="false" outlineLevel="0" max="6" min="6" style="0" width="7"/>
    <col collapsed="false" customWidth="true" hidden="false" outlineLevel="0" max="7" min="7" style="0" width="30"/>
    <col collapsed="false" customWidth="true" hidden="false" outlineLevel="0" max="9" min="8" style="0" width="8"/>
    <col collapsed="false" customWidth="true" hidden="false" outlineLevel="0" max="10" min="10" style="0" width="14"/>
    <col collapsed="false" customWidth="true" hidden="false" outlineLevel="0" max="11" min="11" style="0" width="40"/>
    <col collapsed="false" customWidth="true" hidden="false" outlineLevel="0" max="12" min="12" style="0" width="20"/>
    <col collapsed="false" customWidth="true" hidden="false" outlineLevel="0" max="13" min="13" style="0" width="12"/>
    <col collapsed="false" customWidth="true" hidden="false" outlineLevel="0" max="17" min="14" style="0" width="30"/>
    <col collapsed="false" customWidth="true" hidden="false" outlineLevel="0" max="18" min="18" style="0" width="40"/>
  </cols>
  <sheetData>
    <row r="1" customFormat="false" ht="26.85" hidden="false" customHeight="false" outlineLevel="0" collapsed="false">
      <c r="A1" s="7" t="s">
        <v>844</v>
      </c>
      <c r="B1" s="7" t="s">
        <v>50</v>
      </c>
      <c r="C1" s="7" t="s">
        <v>845</v>
      </c>
      <c r="D1" s="7" t="s">
        <v>369</v>
      </c>
      <c r="E1" s="7" t="s">
        <v>370</v>
      </c>
      <c r="F1" s="7" t="s">
        <v>174</v>
      </c>
      <c r="G1" s="7" t="s">
        <v>846</v>
      </c>
      <c r="H1" s="7" t="s">
        <v>847</v>
      </c>
      <c r="I1" s="7" t="s">
        <v>848</v>
      </c>
      <c r="J1" s="7" t="s">
        <v>296</v>
      </c>
      <c r="K1" s="7" t="s">
        <v>849</v>
      </c>
      <c r="L1" s="7" t="s">
        <v>176</v>
      </c>
      <c r="M1" s="7" t="s">
        <v>175</v>
      </c>
      <c r="N1" s="7" t="s">
        <v>381</v>
      </c>
      <c r="O1" s="7" t="s">
        <v>850</v>
      </c>
      <c r="P1" s="7" t="s">
        <v>385</v>
      </c>
      <c r="Q1" s="7" t="s">
        <v>386</v>
      </c>
      <c r="R1" s="7" t="s">
        <v>53</v>
      </c>
    </row>
    <row r="2" customFormat="false" ht="23.85" hidden="false" customHeight="false" outlineLevel="0" collapsed="false">
      <c r="A2" s="11" t="s">
        <v>851</v>
      </c>
      <c r="B2" s="11" t="s">
        <v>3</v>
      </c>
      <c r="C2" s="11" t="s">
        <v>399</v>
      </c>
      <c r="D2" s="11" t="n">
        <v>1986</v>
      </c>
      <c r="E2" s="11" t="s">
        <v>852</v>
      </c>
      <c r="F2" s="11" t="s">
        <v>241</v>
      </c>
      <c r="G2" s="11" t="s">
        <v>853</v>
      </c>
      <c r="H2" s="11" t="n">
        <v>0</v>
      </c>
      <c r="I2" s="11" t="n">
        <v>40</v>
      </c>
      <c r="J2" s="11" t="s">
        <v>265</v>
      </c>
      <c r="K2" s="11" t="s">
        <v>854</v>
      </c>
      <c r="L2" s="11" t="s">
        <v>185</v>
      </c>
      <c r="M2" s="11" t="str">
        <f aca="false">IFERROR(VLOOKUP(F2,Locations!$I$5:$J$60,2,FALSE()),"Not mapped")</f>
        <v>West</v>
      </c>
      <c r="N2" s="11"/>
      <c r="O2" s="11" t="s">
        <v>855</v>
      </c>
      <c r="P2" s="11"/>
      <c r="Q2" s="11"/>
      <c r="R2" s="12" t="s">
        <v>856</v>
      </c>
    </row>
    <row r="3" customFormat="false" ht="35.05" hidden="false" customHeight="false" outlineLevel="0" collapsed="false">
      <c r="A3" s="11" t="s">
        <v>857</v>
      </c>
      <c r="B3" s="11" t="s">
        <v>3</v>
      </c>
      <c r="C3" s="11" t="s">
        <v>399</v>
      </c>
      <c r="D3" s="11" t="n">
        <v>1988</v>
      </c>
      <c r="E3" s="11" t="s">
        <v>858</v>
      </c>
      <c r="F3" s="11" t="s">
        <v>179</v>
      </c>
      <c r="G3" s="11" t="s">
        <v>859</v>
      </c>
      <c r="H3" s="11" t="n">
        <v>1</v>
      </c>
      <c r="I3" s="11" t="n">
        <v>12</v>
      </c>
      <c r="J3" s="11" t="s">
        <v>265</v>
      </c>
      <c r="K3" s="11" t="s">
        <v>860</v>
      </c>
      <c r="L3" s="11" t="s">
        <v>185</v>
      </c>
      <c r="M3" s="11" t="str">
        <f aca="false">IFERROR(VLOOKUP(F3,Locations!$I$5:$J$60,2,FALSE()),"Not mapped")</f>
        <v>Northeast</v>
      </c>
      <c r="N3" s="11"/>
      <c r="O3" s="11" t="s">
        <v>861</v>
      </c>
      <c r="P3" s="11"/>
      <c r="Q3" s="11" t="s">
        <v>862</v>
      </c>
      <c r="R3" s="12" t="s">
        <v>863</v>
      </c>
    </row>
    <row r="4" customFormat="false" ht="15" hidden="false" customHeight="false" outlineLevel="0" collapsed="false">
      <c r="A4" s="11" t="s">
        <v>864</v>
      </c>
      <c r="B4" s="11" t="s">
        <v>3</v>
      </c>
      <c r="C4" s="11" t="s">
        <v>865</v>
      </c>
      <c r="D4" s="11" t="n">
        <v>2010</v>
      </c>
      <c r="E4" s="11" t="s">
        <v>464</v>
      </c>
      <c r="F4" s="11" t="s">
        <v>227</v>
      </c>
      <c r="G4" s="11" t="s">
        <v>391</v>
      </c>
      <c r="H4" s="11" t="n">
        <v>1</v>
      </c>
      <c r="I4" s="11"/>
      <c r="J4" s="11" t="s">
        <v>6</v>
      </c>
      <c r="K4" s="11" t="s">
        <v>866</v>
      </c>
      <c r="L4" s="11" t="s">
        <v>47</v>
      </c>
      <c r="M4" s="11" t="str">
        <f aca="false">IFERROR(VLOOKUP(F4,Locations!$I$5:$J$60,2,FALSE()),"Not mapped")</f>
        <v>South</v>
      </c>
      <c r="N4" s="11"/>
      <c r="O4" s="11"/>
      <c r="P4" s="11"/>
      <c r="Q4" s="11"/>
      <c r="R4" s="12" t="s">
        <v>867</v>
      </c>
    </row>
    <row r="5" customFormat="false" ht="23.85" hidden="false" customHeight="false" outlineLevel="0" collapsed="false">
      <c r="A5" s="11" t="s">
        <v>868</v>
      </c>
      <c r="B5" s="11" t="s">
        <v>3</v>
      </c>
      <c r="C5" s="11" t="s">
        <v>399</v>
      </c>
      <c r="D5" s="11" t="n">
        <v>2019</v>
      </c>
      <c r="E5" s="11" t="s">
        <v>426</v>
      </c>
      <c r="F5" s="11" t="s">
        <v>218</v>
      </c>
      <c r="G5" s="11" t="s">
        <v>869</v>
      </c>
      <c r="H5" s="11" t="n">
        <v>1</v>
      </c>
      <c r="I5" s="11" t="n">
        <v>1</v>
      </c>
      <c r="J5" s="11" t="s">
        <v>622</v>
      </c>
      <c r="K5" s="11" t="s">
        <v>870</v>
      </c>
      <c r="L5" s="11" t="s">
        <v>195</v>
      </c>
      <c r="M5" s="11" t="str">
        <f aca="false">IFERROR(VLOOKUP(F5,Locations!$I$5:$J$60,2,FALSE()),"Not mapped")</f>
        <v>South</v>
      </c>
      <c r="N5" s="11"/>
      <c r="O5" s="11"/>
      <c r="P5" s="11"/>
      <c r="Q5" s="11"/>
      <c r="R5" s="12" t="s">
        <v>871</v>
      </c>
    </row>
    <row r="6" customFormat="false" ht="23.85" hidden="false" customHeight="false" outlineLevel="0" collapsed="false">
      <c r="A6" s="11" t="s">
        <v>872</v>
      </c>
      <c r="B6" s="11" t="s">
        <v>3</v>
      </c>
      <c r="C6" s="11" t="s">
        <v>399</v>
      </c>
      <c r="D6" s="11" t="n">
        <v>2021</v>
      </c>
      <c r="E6" s="11" t="s">
        <v>464</v>
      </c>
      <c r="F6" s="11" t="s">
        <v>227</v>
      </c>
      <c r="G6" s="11" t="s">
        <v>873</v>
      </c>
      <c r="H6" s="11" t="n">
        <v>1</v>
      </c>
      <c r="I6" s="11" t="n">
        <v>1</v>
      </c>
      <c r="J6" s="11" t="s">
        <v>6</v>
      </c>
      <c r="K6" s="11" t="s">
        <v>874</v>
      </c>
      <c r="L6" s="11" t="s">
        <v>183</v>
      </c>
      <c r="M6" s="11" t="str">
        <f aca="false">IFERROR(VLOOKUP(F6,Locations!$I$5:$J$60,2,FALSE()),"Not mapped")</f>
        <v>South</v>
      </c>
      <c r="N6" s="11" t="s">
        <v>875</v>
      </c>
      <c r="O6" s="11"/>
      <c r="P6" s="11" t="s">
        <v>876</v>
      </c>
      <c r="Q6" s="11"/>
      <c r="R6" s="12" t="s">
        <v>877</v>
      </c>
    </row>
    <row r="7" customFormat="false" ht="15" hidden="false" customHeight="false" outlineLevel="0" collapsed="false">
      <c r="A7" s="11" t="s">
        <v>878</v>
      </c>
      <c r="B7" s="11" t="s">
        <v>3</v>
      </c>
      <c r="C7" s="11" t="s">
        <v>399</v>
      </c>
      <c r="D7" s="11" t="n">
        <v>2021</v>
      </c>
      <c r="E7" s="11" t="s">
        <v>879</v>
      </c>
      <c r="F7" s="11" t="s">
        <v>218</v>
      </c>
      <c r="G7" s="11" t="s">
        <v>880</v>
      </c>
      <c r="H7" s="11" t="n">
        <v>3</v>
      </c>
      <c r="I7" s="11" t="n">
        <v>20</v>
      </c>
      <c r="J7" s="11" t="s">
        <v>7</v>
      </c>
      <c r="K7" s="11" t="s">
        <v>881</v>
      </c>
      <c r="L7" s="11" t="s">
        <v>185</v>
      </c>
      <c r="M7" s="11" t="str">
        <f aca="false">IFERROR(VLOOKUP(F7,Locations!$I$5:$J$60,2,FALSE()),"Not mapped")</f>
        <v>South</v>
      </c>
      <c r="N7" s="11"/>
      <c r="O7" s="11"/>
      <c r="P7" s="11"/>
      <c r="Q7" s="11"/>
      <c r="R7" s="12" t="s">
        <v>882</v>
      </c>
    </row>
    <row r="8" customFormat="false" ht="15" hidden="false" customHeight="false" outlineLevel="0" collapsed="false">
      <c r="A8" s="11" t="s">
        <v>883</v>
      </c>
      <c r="B8" s="11" t="s">
        <v>3</v>
      </c>
      <c r="C8" s="11" t="s">
        <v>399</v>
      </c>
      <c r="D8" s="11" t="n">
        <v>2022</v>
      </c>
      <c r="E8" s="11" t="s">
        <v>397</v>
      </c>
      <c r="F8" s="11" t="s">
        <v>217</v>
      </c>
      <c r="G8" s="11" t="s">
        <v>391</v>
      </c>
      <c r="H8" s="11" t="n">
        <v>1</v>
      </c>
      <c r="I8" s="11" t="n">
        <v>11</v>
      </c>
      <c r="J8" s="11" t="s">
        <v>265</v>
      </c>
      <c r="K8" s="11"/>
      <c r="L8" s="11" t="s">
        <v>185</v>
      </c>
      <c r="M8" s="11" t="str">
        <f aca="false">IFERROR(VLOOKUP(F8,Locations!$I$5:$J$60,2,FALSE()),"Not mapped")</f>
        <v>South</v>
      </c>
      <c r="N8" s="11"/>
      <c r="O8" s="11"/>
      <c r="P8" s="11"/>
      <c r="Q8" s="11"/>
      <c r="R8" s="12" t="s">
        <v>884</v>
      </c>
    </row>
    <row r="9" customFormat="false" ht="23.85" hidden="false" customHeight="false" outlineLevel="0" collapsed="false">
      <c r="A9" s="11" t="s">
        <v>885</v>
      </c>
      <c r="B9" s="11" t="s">
        <v>3</v>
      </c>
      <c r="C9" s="11" t="s">
        <v>399</v>
      </c>
      <c r="D9" s="11" t="n">
        <v>2024</v>
      </c>
      <c r="E9" s="11" t="s">
        <v>464</v>
      </c>
      <c r="F9" s="11" t="s">
        <v>227</v>
      </c>
      <c r="G9" s="11" t="s">
        <v>420</v>
      </c>
      <c r="H9" s="11" t="n">
        <v>1</v>
      </c>
      <c r="I9" s="11"/>
      <c r="J9" s="11" t="s">
        <v>8</v>
      </c>
      <c r="K9" s="11" t="s">
        <v>886</v>
      </c>
      <c r="L9" s="11" t="s">
        <v>189</v>
      </c>
      <c r="M9" s="11" t="str">
        <f aca="false">IFERROR(VLOOKUP(F9,Locations!$I$5:$J$60,2,FALSE()),"Not mapped")</f>
        <v>South</v>
      </c>
      <c r="N9" s="11" t="s">
        <v>887</v>
      </c>
      <c r="O9" s="11" t="s">
        <v>888</v>
      </c>
      <c r="P9" s="11"/>
      <c r="Q9" s="11"/>
      <c r="R9" s="12" t="s">
        <v>111</v>
      </c>
    </row>
    <row r="10" customFormat="false" ht="15" hidden="false" customHeight="false" outlineLevel="0" collapsed="false">
      <c r="A10" s="11" t="s">
        <v>889</v>
      </c>
      <c r="B10" s="11" t="s">
        <v>3</v>
      </c>
      <c r="C10" s="11" t="s">
        <v>399</v>
      </c>
      <c r="D10" s="11" t="n">
        <v>2024</v>
      </c>
      <c r="E10" s="11" t="s">
        <v>890</v>
      </c>
      <c r="F10" s="11" t="s">
        <v>204</v>
      </c>
      <c r="G10" s="11" t="s">
        <v>891</v>
      </c>
      <c r="H10" s="11" t="n">
        <v>2</v>
      </c>
      <c r="I10" s="11"/>
      <c r="J10" s="11" t="s">
        <v>265</v>
      </c>
      <c r="K10" s="11"/>
      <c r="L10" s="11" t="s">
        <v>191</v>
      </c>
      <c r="M10" s="11" t="str">
        <f aca="false">IFERROR(VLOOKUP(F10,Locations!$I$5:$J$60,2,FALSE()),"Not mapped")</f>
        <v>Midwest</v>
      </c>
      <c r="N10" s="11"/>
      <c r="O10" s="11" t="s">
        <v>892</v>
      </c>
      <c r="P10" s="11"/>
      <c r="Q10" s="11"/>
      <c r="R10" s="12" t="s">
        <v>893</v>
      </c>
    </row>
    <row r="11" customFormat="false" ht="15" hidden="false" customHeight="false" outlineLevel="0" collapsed="false">
      <c r="A11" s="11" t="s">
        <v>894</v>
      </c>
      <c r="B11" s="11" t="s">
        <v>3</v>
      </c>
      <c r="C11" s="11" t="s">
        <v>399</v>
      </c>
      <c r="D11" s="11" t="n">
        <v>2025</v>
      </c>
      <c r="E11" s="11" t="s">
        <v>895</v>
      </c>
      <c r="F11" s="11" t="s">
        <v>203</v>
      </c>
      <c r="G11" s="11" t="s">
        <v>896</v>
      </c>
      <c r="H11" s="11" t="n">
        <v>0</v>
      </c>
      <c r="I11" s="11" t="n">
        <v>2</v>
      </c>
      <c r="J11" s="11" t="s">
        <v>265</v>
      </c>
      <c r="K11" s="11" t="s">
        <v>897</v>
      </c>
      <c r="L11" s="11" t="s">
        <v>183</v>
      </c>
      <c r="M11" s="11" t="str">
        <f aca="false">IFERROR(VLOOKUP(F11,Locations!$I$5:$J$60,2,FALSE()),"Not mapped")</f>
        <v>Midwest</v>
      </c>
      <c r="N11" s="11"/>
      <c r="O11" s="11"/>
      <c r="P11" s="11"/>
      <c r="Q11" s="11"/>
      <c r="R11" s="12" t="s">
        <v>893</v>
      </c>
    </row>
    <row r="12" customFormat="false" ht="23.85" hidden="false" customHeight="false" outlineLevel="0" collapsed="false">
      <c r="A12" s="11" t="s">
        <v>898</v>
      </c>
      <c r="B12" s="11" t="s">
        <v>4</v>
      </c>
      <c r="C12" s="11" t="s">
        <v>568</v>
      </c>
      <c r="D12" s="11" t="n">
        <v>1969</v>
      </c>
      <c r="E12" s="11" t="s">
        <v>899</v>
      </c>
      <c r="F12" s="11" t="s">
        <v>241</v>
      </c>
      <c r="G12" s="11" t="s">
        <v>900</v>
      </c>
      <c r="H12" s="11" t="n">
        <v>1</v>
      </c>
      <c r="I12" s="11"/>
      <c r="J12" s="11" t="s">
        <v>663</v>
      </c>
      <c r="K12" s="11" t="s">
        <v>901</v>
      </c>
      <c r="L12" s="11" t="s">
        <v>185</v>
      </c>
      <c r="M12" s="11" t="str">
        <f aca="false">IFERROR(VLOOKUP(F12,Locations!$I$5:$J$60,2,FALSE()),"Not mapped")</f>
        <v>West</v>
      </c>
      <c r="N12" s="11"/>
      <c r="O12" s="11"/>
      <c r="P12" s="11"/>
      <c r="Q12" s="11" t="s">
        <v>902</v>
      </c>
      <c r="R12" s="12" t="s">
        <v>903</v>
      </c>
    </row>
    <row r="13" customFormat="false" ht="23.85" hidden="false" customHeight="false" outlineLevel="0" collapsed="false">
      <c r="A13" s="11" t="s">
        <v>904</v>
      </c>
      <c r="B13" s="11" t="s">
        <v>4</v>
      </c>
      <c r="C13" s="11" t="s">
        <v>601</v>
      </c>
      <c r="D13" s="11" t="n">
        <v>1988</v>
      </c>
      <c r="E13" s="11" t="s">
        <v>905</v>
      </c>
      <c r="F13" s="11" t="s">
        <v>244</v>
      </c>
      <c r="G13" s="11" t="s">
        <v>906</v>
      </c>
      <c r="H13" s="11" t="n">
        <v>1</v>
      </c>
      <c r="I13" s="11"/>
      <c r="J13" s="11" t="s">
        <v>6</v>
      </c>
      <c r="K13" s="11" t="s">
        <v>907</v>
      </c>
      <c r="L13" s="11" t="s">
        <v>187</v>
      </c>
      <c r="M13" s="11" t="str">
        <f aca="false">IFERROR(VLOOKUP(F13,Locations!$I$5:$J$60,2,FALSE()),"Not mapped")</f>
        <v>West</v>
      </c>
      <c r="N13" s="11"/>
      <c r="O13" s="11"/>
      <c r="P13" s="11"/>
      <c r="Q13" s="11" t="s">
        <v>908</v>
      </c>
      <c r="R13" s="12" t="s">
        <v>909</v>
      </c>
    </row>
    <row r="14" customFormat="false" ht="15" hidden="false" customHeight="false" outlineLevel="0" collapsed="false">
      <c r="A14" s="11" t="s">
        <v>910</v>
      </c>
      <c r="B14" s="11" t="s">
        <v>4</v>
      </c>
      <c r="C14" s="11" t="s">
        <v>911</v>
      </c>
      <c r="D14" s="11" t="n">
        <v>1988</v>
      </c>
      <c r="E14" s="11" t="s">
        <v>397</v>
      </c>
      <c r="F14" s="11" t="s">
        <v>217</v>
      </c>
      <c r="G14" s="11" t="s">
        <v>912</v>
      </c>
      <c r="H14" s="11"/>
      <c r="I14" s="11"/>
      <c r="J14" s="11" t="s">
        <v>265</v>
      </c>
      <c r="K14" s="11" t="s">
        <v>913</v>
      </c>
      <c r="L14" s="11" t="s">
        <v>187</v>
      </c>
      <c r="M14" s="11" t="str">
        <f aca="false">IFERROR(VLOOKUP(F14,Locations!$I$5:$J$60,2,FALSE()),"Not mapped")</f>
        <v>South</v>
      </c>
      <c r="N14" s="11"/>
      <c r="O14" s="11"/>
      <c r="P14" s="11"/>
      <c r="Q14" s="11"/>
      <c r="R14" s="12" t="s">
        <v>914</v>
      </c>
    </row>
    <row r="15" customFormat="false" ht="23.85" hidden="false" customHeight="false" outlineLevel="0" collapsed="false">
      <c r="A15" s="11" t="s">
        <v>915</v>
      </c>
      <c r="B15" s="11" t="s">
        <v>4</v>
      </c>
      <c r="C15" s="11" t="s">
        <v>916</v>
      </c>
      <c r="D15" s="11" t="n">
        <v>1990</v>
      </c>
      <c r="E15" s="11" t="s">
        <v>905</v>
      </c>
      <c r="F15" s="11" t="s">
        <v>244</v>
      </c>
      <c r="G15" s="11" t="s">
        <v>917</v>
      </c>
      <c r="H15" s="11" t="n">
        <v>1</v>
      </c>
      <c r="I15" s="11"/>
      <c r="J15" s="11" t="s">
        <v>6</v>
      </c>
      <c r="K15" s="11" t="s">
        <v>918</v>
      </c>
      <c r="L15" s="11" t="s">
        <v>183</v>
      </c>
      <c r="M15" s="11" t="str">
        <f aca="false">IFERROR(VLOOKUP(F15,Locations!$I$5:$J$60,2,FALSE()),"Not mapped")</f>
        <v>West</v>
      </c>
      <c r="N15" s="11"/>
      <c r="O15" s="11"/>
      <c r="P15" s="11"/>
      <c r="Q15" s="11"/>
      <c r="R15" s="12" t="s">
        <v>919</v>
      </c>
    </row>
    <row r="16" customFormat="false" ht="15" hidden="false" customHeight="false" outlineLevel="0" collapsed="false">
      <c r="A16" s="11" t="s">
        <v>920</v>
      </c>
      <c r="B16" s="11" t="s">
        <v>4</v>
      </c>
      <c r="C16" s="11" t="s">
        <v>601</v>
      </c>
      <c r="D16" s="11" t="n">
        <v>1997</v>
      </c>
      <c r="E16" s="11" t="s">
        <v>602</v>
      </c>
      <c r="F16" s="11" t="s">
        <v>217</v>
      </c>
      <c r="G16" s="11" t="s">
        <v>921</v>
      </c>
      <c r="H16" s="11" t="n">
        <v>1</v>
      </c>
      <c r="I16" s="11"/>
      <c r="J16" s="11" t="s">
        <v>6</v>
      </c>
      <c r="K16" s="11" t="s">
        <v>922</v>
      </c>
      <c r="L16" s="11" t="s">
        <v>191</v>
      </c>
      <c r="M16" s="11" t="str">
        <f aca="false">IFERROR(VLOOKUP(F16,Locations!$I$5:$J$60,2,FALSE()),"Not mapped")</f>
        <v>South</v>
      </c>
      <c r="N16" s="11"/>
      <c r="O16" s="11"/>
      <c r="P16" s="11"/>
      <c r="Q16" s="11"/>
      <c r="R16" s="12" t="s">
        <v>127</v>
      </c>
    </row>
    <row r="17" customFormat="false" ht="15" hidden="false" customHeight="false" outlineLevel="0" collapsed="false">
      <c r="A17" s="11" t="s">
        <v>923</v>
      </c>
      <c r="B17" s="11" t="s">
        <v>4</v>
      </c>
      <c r="C17" s="11" t="s">
        <v>911</v>
      </c>
      <c r="D17" s="11" t="n">
        <v>1998</v>
      </c>
      <c r="E17" s="11" t="s">
        <v>405</v>
      </c>
      <c r="F17" s="11" t="s">
        <v>242</v>
      </c>
      <c r="G17" s="11" t="s">
        <v>924</v>
      </c>
      <c r="H17" s="11" t="n">
        <v>2</v>
      </c>
      <c r="I17" s="11"/>
      <c r="J17" s="11" t="s">
        <v>6</v>
      </c>
      <c r="K17" s="11" t="s">
        <v>925</v>
      </c>
      <c r="L17" s="11" t="s">
        <v>200</v>
      </c>
      <c r="M17" s="11" t="str">
        <f aca="false">IFERROR(VLOOKUP(F17,Locations!$I$5:$J$60,2,FALSE()),"Not mapped")</f>
        <v>West</v>
      </c>
      <c r="N17" s="11"/>
      <c r="O17" s="11"/>
      <c r="P17" s="11"/>
      <c r="Q17" s="11"/>
      <c r="R17" s="12" t="s">
        <v>926</v>
      </c>
    </row>
    <row r="18" customFormat="false" ht="23.85" hidden="false" customHeight="false" outlineLevel="0" collapsed="false">
      <c r="A18" s="11" t="s">
        <v>927</v>
      </c>
      <c r="B18" s="11" t="s">
        <v>4</v>
      </c>
      <c r="C18" s="11" t="s">
        <v>928</v>
      </c>
      <c r="D18" s="11" t="n">
        <v>1999</v>
      </c>
      <c r="E18" s="11" t="s">
        <v>929</v>
      </c>
      <c r="F18" s="11" t="s">
        <v>179</v>
      </c>
      <c r="G18" s="11" t="s">
        <v>930</v>
      </c>
      <c r="H18" s="11" t="n">
        <v>3</v>
      </c>
      <c r="I18" s="11"/>
      <c r="J18" s="11" t="s">
        <v>265</v>
      </c>
      <c r="K18" s="11" t="s">
        <v>931</v>
      </c>
      <c r="L18" s="11" t="s">
        <v>185</v>
      </c>
      <c r="M18" s="11" t="str">
        <f aca="false">IFERROR(VLOOKUP(F18,Locations!$I$5:$J$60,2,FALSE()),"Not mapped")</f>
        <v>Northeast</v>
      </c>
      <c r="N18" s="11"/>
      <c r="O18" s="11" t="s">
        <v>932</v>
      </c>
      <c r="P18" s="11" t="s">
        <v>933</v>
      </c>
      <c r="Q18" s="11"/>
      <c r="R18" s="12" t="s">
        <v>934</v>
      </c>
    </row>
    <row r="19" customFormat="false" ht="23.85" hidden="false" customHeight="false" outlineLevel="0" collapsed="false">
      <c r="A19" s="11" t="s">
        <v>935</v>
      </c>
      <c r="B19" s="11" t="s">
        <v>4</v>
      </c>
      <c r="C19" s="11" t="s">
        <v>936</v>
      </c>
      <c r="D19" s="11" t="n">
        <v>2003</v>
      </c>
      <c r="E19" s="11" t="s">
        <v>937</v>
      </c>
      <c r="F19" s="11" t="s">
        <v>186</v>
      </c>
      <c r="G19" s="11" t="s">
        <v>938</v>
      </c>
      <c r="H19" s="11" t="n">
        <v>100</v>
      </c>
      <c r="I19" s="11" t="n">
        <v>200</v>
      </c>
      <c r="J19" s="11" t="s">
        <v>6</v>
      </c>
      <c r="K19" s="11" t="s">
        <v>939</v>
      </c>
      <c r="L19" s="11" t="s">
        <v>183</v>
      </c>
      <c r="M19" s="11" t="str">
        <f aca="false">IFERROR(VLOOKUP(F19,Locations!$I$5:$J$60,2,FALSE()),"Not mapped")</f>
        <v>Northeast</v>
      </c>
      <c r="N19" s="11"/>
      <c r="O19" s="11"/>
      <c r="P19" s="11" t="s">
        <v>940</v>
      </c>
      <c r="Q19" s="11" t="s">
        <v>941</v>
      </c>
      <c r="R19" s="12" t="s">
        <v>97</v>
      </c>
    </row>
    <row r="20" customFormat="false" ht="15" hidden="false" customHeight="false" outlineLevel="0" collapsed="false">
      <c r="A20" s="11" t="s">
        <v>942</v>
      </c>
      <c r="B20" s="11" t="s">
        <v>4</v>
      </c>
      <c r="C20" s="11" t="s">
        <v>600</v>
      </c>
      <c r="D20" s="11" t="n">
        <v>2004</v>
      </c>
      <c r="E20" s="11" t="s">
        <v>620</v>
      </c>
      <c r="F20" s="11" t="s">
        <v>203</v>
      </c>
      <c r="G20" s="11" t="s">
        <v>943</v>
      </c>
      <c r="H20" s="11"/>
      <c r="I20" s="11"/>
      <c r="J20" s="11" t="s">
        <v>622</v>
      </c>
      <c r="K20" s="11" t="s">
        <v>944</v>
      </c>
      <c r="L20" s="11" t="s">
        <v>183</v>
      </c>
      <c r="M20" s="11" t="str">
        <f aca="false">IFERROR(VLOOKUP(F20,Locations!$I$5:$J$60,2,FALSE()),"Not mapped")</f>
        <v>Midwest</v>
      </c>
      <c r="N20" s="11"/>
      <c r="O20" s="11"/>
      <c r="P20" s="11"/>
      <c r="Q20" s="11"/>
      <c r="R20" s="12" t="s">
        <v>903</v>
      </c>
    </row>
  </sheetData>
  <hyperlinks>
    <hyperlink ref="R2" r:id="rId1" display="https://www.upi.com/Archives/1986/08/19/Violence-plagues-rap-concerts/3627524808000/"/>
    <hyperlink ref="R3" r:id="rId2" display="https://longislandpress.com/2017/04/05/17-times-entertainment-history-was-made-at-nassau-coliseum"/>
    <hyperlink ref="R4" r:id="rId3" display="https://www.wdrb.com/news/man-sentenced-in-killing-of-rapper-the-shizz/article_7e80fd47-8af1-5106-b648-50f14f525e85.html"/>
    <hyperlink ref="R5" r:id="rId4" display="https://www.theadvocate.com/baton_rouge/news/courts/article_ab6735e6-bf4e-11e9-a938-8fda5df7f67d.html"/>
    <hyperlink ref="R6" r:id="rId5" display="https://www.wdrb.com/news/crime-reports/former-jack-harlow-dj-wont-serve-more-jail-time-after-pleading-guilty-in-fatal-shooting/article_0130139c-9387-11ee-99bb-13a951aeea98.html"/>
    <hyperlink ref="R7" r:id="rId6" display="https://en.wikipedia.org/wiki/2021_Hialeah_shooting"/>
    <hyperlink ref="R8" r:id="rId7" display="https://deadline.com/2022/04/rap-concert-shooting-dallas-12-people-injured-one-dead-big-boogie-headliner-1234993366/"/>
    <hyperlink ref="R9" r:id="rId8" display="https://www.complex.com/music/a/markelibert/est-gees-manager-shot-and-killed"/>
    <hyperlink ref="R10" r:id="rId9" display="https://www.iqmagazine.com/2024/08/concert-cancelled-after-two-killed-in-shooting/"/>
    <hyperlink ref="R11" r:id="rId10" display="https://www.iqmagazine.com/2024/08/concert-cancelled-after-two-killed-in-shooting/"/>
    <hyperlink ref="R12" r:id="rId11" display="https://americansongwriter.com/5-cautionary-tales-of-rock-concerts-that-ended-in-tragedy"/>
    <hyperlink ref="R13" r:id="rId12" display="https://blog.pmpress.org/?p=31486"/>
    <hyperlink ref="R14" r:id="rId13" display="https://dal-experimental.voicemediagroup.com/?p=40567085"/>
    <hyperlink ref="R15" r:id="rId14" display="https://en.wikipedia.org/wiki/Roseland_Theater"/>
    <hyperlink ref="R16" r:id="rId15" display="https://en.wikipedia.org/wiki/Killing_of_Brian_Deneke"/>
    <hyperlink ref="R17" r:id="rId16" display="https://en.wikipedia.org/wiki/Daniel_Shersty"/>
    <hyperlink ref="R18" r:id="rId17" display="https://americansongwriter.com/4-infamous-concert-tragedies-that-tell-a-cautionary-tale/?nb=1"/>
    <hyperlink ref="R19" r:id="rId18" display="https://en.wikipedia.org/wiki/The_Station_nightclub_fire"/>
    <hyperlink ref="R20" r:id="rId19" display="https://americansongwriter.com/5-cautionary-tales-of-rock-concerts-that-ended-in-tragedy"/>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20"/>
  </tableParts>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2026-10-18T23:50:13Z</dcterms:created>
  <dc:creator>openpyxl</dc:creator>
  <dc:description/>
  <dc:language>en-US</dc:language>
  <cp:lastModifiedBy/>
  <dcterms:modified xsi:type="dcterms:W3CDTF">2026-10-18T23:50:13Z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